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ozp 2023\přímé zadání KÚ 2023\příloha metodiky 2023\"/>
    </mc:Choice>
  </mc:AlternateContent>
  <xr:revisionPtr revIDLastSave="0" documentId="13_ncr:1_{786E8D94-898E-4DB3-82A4-87A43DCD62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počet komponent" sheetId="1" r:id="rId1"/>
    <sheet name="souběh výkonů ŠJ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" l="1"/>
  <c r="D32" i="1"/>
  <c r="D50" i="1" l="1"/>
  <c r="D43" i="1"/>
  <c r="C23" i="1" l="1"/>
  <c r="D23" i="1" s="1"/>
  <c r="C15" i="1"/>
  <c r="C52" i="1"/>
  <c r="D52" i="1" s="1"/>
  <c r="C54" i="1"/>
  <c r="C45" i="1"/>
  <c r="D45" i="1" s="1"/>
  <c r="C47" i="1"/>
  <c r="E58" i="1"/>
  <c r="D63" i="1"/>
  <c r="E63" i="1" s="1"/>
  <c r="D21" i="1"/>
  <c r="C25" i="1" s="1"/>
  <c r="C44" i="2"/>
  <c r="C38" i="2"/>
  <c r="D54" i="1" l="1"/>
  <c r="E50" i="1"/>
  <c r="E43" i="1"/>
  <c r="E23" i="1"/>
  <c r="E21" i="1"/>
  <c r="D47" i="1"/>
  <c r="D60" i="1"/>
  <c r="D25" i="1"/>
  <c r="D36" i="1"/>
  <c r="E36" i="1" s="1"/>
  <c r="D28" i="1"/>
  <c r="E28" i="1" s="1"/>
  <c r="E52" i="1" l="1"/>
  <c r="E45" i="1"/>
  <c r="C31" i="2"/>
  <c r="D31" i="2" s="1"/>
  <c r="C25" i="2"/>
  <c r="D25" i="2" s="1"/>
  <c r="E25" i="2" s="1"/>
  <c r="D14" i="2" l="1"/>
  <c r="E14" i="2" s="1"/>
  <c r="D7" i="2"/>
  <c r="E7" i="2" s="1"/>
  <c r="D29" i="2"/>
  <c r="D13" i="2"/>
  <c r="E13" i="2" s="1"/>
  <c r="D35" i="2"/>
  <c r="E31" i="2"/>
  <c r="G13" i="2" l="1"/>
  <c r="D70" i="1"/>
  <c r="D74" i="1" l="1"/>
  <c r="E70" i="1"/>
  <c r="D67" i="1"/>
  <c r="D12" i="1"/>
  <c r="E12" i="1" s="1"/>
  <c r="D6" i="1" l="1"/>
  <c r="D9" i="1" l="1"/>
  <c r="E6" i="1"/>
  <c r="D15" i="1"/>
  <c r="E15" i="1" s="1"/>
  <c r="D40" i="1"/>
  <c r="C39" i="1"/>
  <c r="E39" i="1" s="1"/>
  <c r="D18" i="1" l="1"/>
  <c r="D44" i="2"/>
  <c r="D38" i="2"/>
  <c r="C21" i="2"/>
  <c r="D21" i="2" s="1"/>
  <c r="D22" i="2" s="1"/>
  <c r="C32" i="1"/>
  <c r="C18" i="1"/>
  <c r="D33" i="1" l="1"/>
  <c r="E32" i="1"/>
  <c r="D12" i="2"/>
  <c r="E12" i="2" s="1"/>
  <c r="D5" i="2"/>
  <c r="D11" i="2"/>
  <c r="E11" i="2" s="1"/>
  <c r="D47" i="2"/>
  <c r="D10" i="2"/>
  <c r="E44" i="2"/>
  <c r="D9" i="2"/>
  <c r="E9" i="2" s="1"/>
  <c r="D41" i="2"/>
  <c r="D8" i="2"/>
  <c r="E8" i="2" s="1"/>
  <c r="D6" i="2"/>
  <c r="E6" i="2" s="1"/>
  <c r="E38" i="2"/>
  <c r="C40" i="1"/>
  <c r="C33" i="1"/>
  <c r="E10" i="2" l="1"/>
  <c r="G10" i="2" s="1"/>
  <c r="E5" i="2"/>
  <c r="G5" i="2" s="1"/>
  <c r="G12" i="2"/>
  <c r="G11" i="2"/>
  <c r="G14" i="2"/>
  <c r="G8" i="2"/>
  <c r="G9" i="2"/>
  <c r="G7" i="2"/>
  <c r="E15" i="2" l="1"/>
  <c r="G6" i="2"/>
  <c r="G15" i="2" s="1"/>
</calcChain>
</file>

<file path=xl/sharedStrings.xml><?xml version="1.0" encoding="utf-8"?>
<sst xmlns="http://schemas.openxmlformats.org/spreadsheetml/2006/main" count="213" uniqueCount="105">
  <si>
    <t>parametry regresní funkce</t>
  </si>
  <si>
    <t>výkony pro výpoč</t>
  </si>
  <si>
    <t>hodnota
Np, No</t>
  </si>
  <si>
    <t>Norm. úv.
 zaměst.</t>
  </si>
  <si>
    <t>interval
(velikost)</t>
  </si>
  <si>
    <t>a0</t>
  </si>
  <si>
    <t>a1</t>
  </si>
  <si>
    <t>a2</t>
  </si>
  <si>
    <t>a3</t>
  </si>
  <si>
    <t>a4</t>
  </si>
  <si>
    <t>a5</t>
  </si>
  <si>
    <t>a6</t>
  </si>
  <si>
    <t>max (extr):</t>
  </si>
  <si>
    <t>Np</t>
  </si>
  <si>
    <t>No</t>
  </si>
  <si>
    <t>provozní z.</t>
  </si>
  <si>
    <t>Kč</t>
  </si>
  <si>
    <t>Kpedag:</t>
  </si>
  <si>
    <t>Kneped:</t>
  </si>
  <si>
    <t xml:space="preserve">Školní družina </t>
  </si>
  <si>
    <t>do 10 ž.</t>
  </si>
  <si>
    <t>Školní jídelna - pro stravované děti, které se vzdělávají v MŠ</t>
  </si>
  <si>
    <t>ŠJ MŠ</t>
  </si>
  <si>
    <t>Domov mládeže - pro  ubytované žáky, kteří se vzdělávají v SŠ</t>
  </si>
  <si>
    <t>do 20 ubyt.</t>
  </si>
  <si>
    <t>pedag. DM</t>
  </si>
  <si>
    <t>normativ</t>
  </si>
  <si>
    <t>platy/ ubyt. ped./neped</t>
  </si>
  <si>
    <t>platy neped./ stravov.</t>
  </si>
  <si>
    <t>norm.
kompon.</t>
  </si>
  <si>
    <t>děti MŠ -obědy +dopl.j.</t>
  </si>
  <si>
    <t>žáci ZŠ - obědy</t>
  </si>
  <si>
    <t>žáci SŠ+VOŠ - obědy</t>
  </si>
  <si>
    <t>strávníci - žáci ZŠ, SŠ</t>
  </si>
  <si>
    <t>strávníci - děti MŠ</t>
  </si>
  <si>
    <t>strávníci</t>
  </si>
  <si>
    <t>hodnota
No</t>
  </si>
  <si>
    <t>úv. NPo</t>
  </si>
  <si>
    <t>Knep.</t>
  </si>
  <si>
    <t>celodenní strav - děti MŠ</t>
  </si>
  <si>
    <t>celodenní strav- ZŠ, SŠ, VOŠ</t>
  </si>
  <si>
    <t>celod. strav. bez obědů MŠ</t>
  </si>
  <si>
    <t>celod. strav. bez obědů ost</t>
  </si>
  <si>
    <t>CELKEM</t>
  </si>
  <si>
    <t>vývařovna - obědy pro MŠ</t>
  </si>
  <si>
    <t>Školní jídelna - pro stravované děti, které se vzdělávají v MŠ - oběd a doplňková jídla</t>
  </si>
  <si>
    <t>Výpočet pro školní jídelnu se stravováním více typů strávníků (souběh více normativů)</t>
  </si>
  <si>
    <t xml:space="preserve">k vyplnění </t>
  </si>
  <si>
    <t>výkony dle normativů</t>
  </si>
  <si>
    <t>platy</t>
  </si>
  <si>
    <t>tis. Kč</t>
  </si>
  <si>
    <t>Pozn.:  pro korektní výpočet musí být vyplněny všechny výkony - nevyužitá políčka musí obsahovat 0</t>
  </si>
  <si>
    <t>Školní jídelna - celodenní stravování bez obědů</t>
  </si>
  <si>
    <t>Školní jídelna - celodenní stravování včetně obědů</t>
  </si>
  <si>
    <t>20-64 ubyt.</t>
  </si>
  <si>
    <t>65-449 ubyt.</t>
  </si>
  <si>
    <t>450 a více</t>
  </si>
  <si>
    <t>do 449 žáků</t>
  </si>
  <si>
    <t>platy/ ubyt ped / nep.</t>
  </si>
  <si>
    <t>Domov mládeže - pro  ubytované studenty, kteří se vzdělávají ve VOŠ</t>
  </si>
  <si>
    <t>20-200 ubyt.</t>
  </si>
  <si>
    <t>201 a více</t>
  </si>
  <si>
    <t>neped. ŠD</t>
  </si>
  <si>
    <t>10-248 ž.</t>
  </si>
  <si>
    <t>249 ž. a více</t>
  </si>
  <si>
    <t>do 449 ubyt.</t>
  </si>
  <si>
    <t>ped. ŠK</t>
  </si>
  <si>
    <t>neped. ŠK</t>
  </si>
  <si>
    <t>130 ž. a více</t>
  </si>
  <si>
    <t>do 20 ž.</t>
  </si>
  <si>
    <t>21-129 ž.</t>
  </si>
  <si>
    <t>ŠJ ZŠ</t>
  </si>
  <si>
    <t>do 10 strav.</t>
  </si>
  <si>
    <t>ŠJ SŠ</t>
  </si>
  <si>
    <r>
      <t>Školní jídelna - pro stravované žáky, kteří se vzdělávají v SŠ, studenty VOŠ - obědy</t>
    </r>
    <r>
      <rPr>
        <sz val="12"/>
        <rFont val="Arial"/>
        <family val="2"/>
        <charset val="238"/>
      </rPr>
      <t xml:space="preserve"> (bez souběhu s dětmi MŠ, celodenním stravováním)</t>
    </r>
  </si>
  <si>
    <r>
      <t>Školní jídelna - pro stravované žáky, kteří se vzdělávají v ZŠ - obědy</t>
    </r>
    <r>
      <rPr>
        <sz val="12"/>
        <rFont val="Arial"/>
        <family val="2"/>
        <charset val="238"/>
      </rPr>
      <t xml:space="preserve"> (bez souběhu s dětmi MŠ, celodenním stravováním)</t>
    </r>
  </si>
  <si>
    <t>strávníci - žáci ZŠ</t>
  </si>
  <si>
    <r>
      <t>Školní jídelna - pro stravované žáky, kteří se vzdělávají v ZŠ</t>
    </r>
    <r>
      <rPr>
        <sz val="12"/>
        <rFont val="Arial"/>
        <family val="2"/>
        <charset val="238"/>
      </rPr>
      <t xml:space="preserve"> - se souběhem s dětmi MŠ, celodenním stravováním</t>
    </r>
  </si>
  <si>
    <r>
      <t>Školní jídelna - pro stravované žáky, kteří se vzdělávají v SŠ, studenty VOŠ - obědy</t>
    </r>
    <r>
      <rPr>
        <sz val="12"/>
        <rFont val="Arial"/>
        <family val="2"/>
        <charset val="238"/>
      </rPr>
      <t>- se souběhem s dětmi MŠ, celodenním stravováním</t>
    </r>
  </si>
  <si>
    <t>vývařovna - obědy ZŠ</t>
  </si>
  <si>
    <t>vývařovna - obědy SŠ</t>
  </si>
  <si>
    <t>10-245 ž.</t>
  </si>
  <si>
    <t>245 ž. a více</t>
  </si>
  <si>
    <t>10-387 strav.</t>
  </si>
  <si>
    <t>388-1400 strav.</t>
  </si>
  <si>
    <t>388-1470 strav.</t>
  </si>
  <si>
    <t>1471 a více</t>
  </si>
  <si>
    <t>1401 a více</t>
  </si>
  <si>
    <t>Výpočet hodnot normativů potřeby práce pro rok 2023, normativní objem mzdových prostředků na jednotku výkonů</t>
  </si>
  <si>
    <t>Školní kluby - pravidelná denní docházka</t>
  </si>
  <si>
    <t>Školní kluby - pravidelná docházka</t>
  </si>
  <si>
    <t>do 248 ž.</t>
  </si>
  <si>
    <t>do 1750 ž.</t>
  </si>
  <si>
    <t>1751 ž. a více</t>
  </si>
  <si>
    <t>Středisko volného času - činnost v rozsahu nejvýše 3 hodiny týdně</t>
  </si>
  <si>
    <t>Středisko volného času - činnost v rozsahu více než 3 hodiny týdně</t>
  </si>
  <si>
    <t>20-248 ž.</t>
  </si>
  <si>
    <t>ped. SVČ</t>
  </si>
  <si>
    <t>ped.  SVČ</t>
  </si>
  <si>
    <t>neped. SVČ</t>
  </si>
  <si>
    <t>platy / účast. ped./nep.</t>
  </si>
  <si>
    <t>platy neped./ žáka v ŠD</t>
  </si>
  <si>
    <t>platy/ žáka v ŠK ped/nep.</t>
  </si>
  <si>
    <t>251 a více</t>
  </si>
  <si>
    <t>do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</si>
</sst>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00"/>
    <numFmt numFmtId="165" formatCode="0.000000E+00"/>
    <numFmt numFmtId="166" formatCode="0.0000"/>
    <numFmt numFmtId="167" formatCode="0.0000000"/>
    <numFmt numFmtId="168" formatCode="0.0"/>
    <numFmt numFmtId="169" formatCode="0.000000"/>
    <numFmt numFmtId="170" formatCode="0.0000000E+00"/>
    <numFmt numFmtId="171" formatCode="0.00000E+00"/>
    <numFmt numFmtId="172" formatCode="0.000E+00"/>
    <numFmt numFmtId="173" formatCode="0.0000000000"/>
    <numFmt numFmtId="174" formatCode="0.00000000000"/>
    <numFmt numFmtId="175" formatCode="0.000000000"/>
    <numFmt numFmtId="176" formatCode="0.00000"/>
    <numFmt numFmtId="177" formatCode="0.00000000"/>
  </numFmts>
  <fonts count="27" x14ac:knownFonts="1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Arial CE"/>
      <family val="2"/>
      <charset val="238"/>
    </font>
    <font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Times New Roman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73EDED"/>
        <bgColor indexed="64"/>
      </patternFill>
    </fill>
    <fill>
      <patternFill patternType="solid">
        <fgColor rgb="FFD1FFFF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243">
    <xf numFmtId="0" fontId="0" fillId="0" borderId="0" xfId="0"/>
    <xf numFmtId="0" fontId="0" fillId="0" borderId="0" xfId="0" applyProtection="1"/>
    <xf numFmtId="0" fontId="7" fillId="0" borderId="1" xfId="0" applyFont="1" applyBorder="1" applyAlignment="1" applyProtection="1">
      <alignment horizontal="center" vertical="center"/>
    </xf>
    <xf numFmtId="0" fontId="4" fillId="2" borderId="6" xfId="0" applyFont="1" applyFill="1" applyBorder="1" applyProtection="1">
      <protection locked="0"/>
    </xf>
    <xf numFmtId="164" fontId="9" fillId="3" borderId="7" xfId="0" applyNumberFormat="1" applyFont="1" applyFill="1" applyBorder="1" applyProtection="1"/>
    <xf numFmtId="164" fontId="2" fillId="3" borderId="8" xfId="0" applyNumberFormat="1" applyFont="1" applyFill="1" applyBorder="1" applyProtection="1"/>
    <xf numFmtId="0" fontId="10" fillId="0" borderId="9" xfId="0" applyFont="1" applyFill="1" applyBorder="1" applyAlignment="1" applyProtection="1">
      <alignment horizontal="right"/>
    </xf>
    <xf numFmtId="2" fontId="0" fillId="0" borderId="11" xfId="0" applyNumberFormat="1" applyBorder="1" applyAlignment="1" applyProtection="1">
      <alignment horizontal="center"/>
    </xf>
    <xf numFmtId="0" fontId="0" fillId="4" borderId="13" xfId="0" applyFill="1" applyBorder="1" applyProtection="1"/>
    <xf numFmtId="164" fontId="2" fillId="3" borderId="15" xfId="0" applyNumberFormat="1" applyFont="1" applyFill="1" applyBorder="1" applyProtection="1"/>
    <xf numFmtId="164" fontId="2" fillId="3" borderId="19" xfId="0" applyNumberFormat="1" applyFont="1" applyFill="1" applyBorder="1" applyProtection="1"/>
    <xf numFmtId="166" fontId="0" fillId="3" borderId="14" xfId="0" applyNumberFormat="1" applyFill="1" applyBorder="1" applyProtection="1"/>
    <xf numFmtId="0" fontId="0" fillId="4" borderId="22" xfId="0" applyFill="1" applyBorder="1" applyProtection="1"/>
    <xf numFmtId="166" fontId="0" fillId="3" borderId="23" xfId="0" applyNumberFormat="1" applyFill="1" applyBorder="1" applyProtection="1"/>
    <xf numFmtId="164" fontId="2" fillId="3" borderId="24" xfId="0" applyNumberFormat="1" applyFont="1" applyFill="1" applyBorder="1" applyProtection="1"/>
    <xf numFmtId="0" fontId="10" fillId="0" borderId="26" xfId="0" applyFont="1" applyFill="1" applyBorder="1" applyAlignment="1" applyProtection="1">
      <alignment horizontal="right"/>
    </xf>
    <xf numFmtId="0" fontId="0" fillId="0" borderId="3" xfId="0" applyBorder="1" applyProtection="1"/>
    <xf numFmtId="0" fontId="3" fillId="0" borderId="3" xfId="0" applyFont="1" applyBorder="1" applyAlignment="1" applyProtection="1">
      <alignment horizontal="right"/>
    </xf>
    <xf numFmtId="0" fontId="12" fillId="0" borderId="3" xfId="0" applyFont="1" applyBorder="1" applyProtection="1"/>
    <xf numFmtId="1" fontId="12" fillId="0" borderId="3" xfId="0" applyNumberFormat="1" applyFont="1" applyBorder="1" applyProtection="1"/>
    <xf numFmtId="169" fontId="12" fillId="0" borderId="3" xfId="0" applyNumberFormat="1" applyFont="1" applyBorder="1" applyProtection="1"/>
    <xf numFmtId="0" fontId="2" fillId="0" borderId="3" xfId="0" applyFont="1" applyBorder="1" applyProtection="1"/>
    <xf numFmtId="0" fontId="0" fillId="0" borderId="28" xfId="0" applyBorder="1" applyProtection="1"/>
    <xf numFmtId="164" fontId="5" fillId="3" borderId="29" xfId="0" applyNumberFormat="1" applyFont="1" applyFill="1" applyBorder="1" applyProtection="1"/>
    <xf numFmtId="1" fontId="4" fillId="2" borderId="6" xfId="0" applyNumberFormat="1" applyFont="1" applyFill="1" applyBorder="1" applyProtection="1">
      <protection locked="0"/>
    </xf>
    <xf numFmtId="164" fontId="3" fillId="3" borderId="32" xfId="0" applyNumberFormat="1" applyFont="1" applyFill="1" applyBorder="1" applyProtection="1"/>
    <xf numFmtId="0" fontId="10" fillId="0" borderId="10" xfId="0" applyFont="1" applyBorder="1" applyAlignment="1" applyProtection="1">
      <alignment horizontal="right"/>
    </xf>
    <xf numFmtId="0" fontId="0" fillId="4" borderId="15" xfId="0" applyFill="1" applyBorder="1" applyProtection="1"/>
    <xf numFmtId="166" fontId="0" fillId="3" borderId="18" xfId="0" applyNumberFormat="1" applyFill="1" applyBorder="1" applyProtection="1"/>
    <xf numFmtId="172" fontId="13" fillId="0" borderId="3" xfId="0" applyNumberFormat="1" applyFont="1" applyBorder="1" applyProtection="1"/>
    <xf numFmtId="2" fontId="0" fillId="0" borderId="38" xfId="0" applyNumberFormat="1" applyBorder="1" applyAlignment="1" applyProtection="1">
      <alignment horizontal="center"/>
    </xf>
    <xf numFmtId="0" fontId="0" fillId="4" borderId="24" xfId="0" applyFill="1" applyBorder="1" applyProtection="1"/>
    <xf numFmtId="0" fontId="10" fillId="0" borderId="0" xfId="0" applyFont="1" applyFill="1" applyBorder="1" applyAlignment="1" applyProtection="1">
      <alignment horizontal="right"/>
    </xf>
    <xf numFmtId="171" fontId="10" fillId="0" borderId="9" xfId="0" applyNumberFormat="1" applyFont="1" applyFill="1" applyBorder="1" applyAlignment="1" applyProtection="1">
      <alignment horizontal="right"/>
    </xf>
    <xf numFmtId="164" fontId="3" fillId="3" borderId="40" xfId="0" applyNumberFormat="1" applyFont="1" applyFill="1" applyBorder="1" applyProtection="1"/>
    <xf numFmtId="0" fontId="10" fillId="0" borderId="27" xfId="0" applyFont="1" applyBorder="1" applyAlignment="1" applyProtection="1">
      <alignment horizontal="right"/>
    </xf>
    <xf numFmtId="164" fontId="10" fillId="0" borderId="32" xfId="0" applyNumberFormat="1" applyFont="1" applyFill="1" applyBorder="1" applyAlignment="1" applyProtection="1">
      <alignment horizontal="right"/>
    </xf>
    <xf numFmtId="164" fontId="9" fillId="3" borderId="14" xfId="0" applyNumberFormat="1" applyFont="1" applyFill="1" applyBorder="1" applyProtection="1"/>
    <xf numFmtId="171" fontId="10" fillId="0" borderId="33" xfId="0" applyNumberFormat="1" applyFont="1" applyFill="1" applyBorder="1" applyAlignment="1" applyProtection="1">
      <alignment horizontal="right"/>
    </xf>
    <xf numFmtId="165" fontId="10" fillId="0" borderId="33" xfId="0" applyNumberFormat="1" applyFont="1" applyFill="1" applyBorder="1" applyAlignment="1" applyProtection="1">
      <alignment horizontal="right"/>
    </xf>
    <xf numFmtId="0" fontId="10" fillId="0" borderId="13" xfId="0" applyFont="1" applyBorder="1" applyAlignment="1" applyProtection="1">
      <alignment horizontal="right"/>
    </xf>
    <xf numFmtId="164" fontId="3" fillId="3" borderId="41" xfId="0" applyNumberFormat="1" applyFont="1" applyFill="1" applyBorder="1" applyProtection="1"/>
    <xf numFmtId="2" fontId="10" fillId="0" borderId="41" xfId="0" applyNumberFormat="1" applyFont="1" applyFill="1" applyBorder="1" applyAlignment="1" applyProtection="1">
      <alignment horizontal="right"/>
    </xf>
    <xf numFmtId="173" fontId="10" fillId="0" borderId="26" xfId="0" applyNumberFormat="1" applyFont="1" applyFill="1" applyBorder="1" applyAlignment="1" applyProtection="1">
      <alignment horizontal="right"/>
    </xf>
    <xf numFmtId="170" fontId="10" fillId="0" borderId="26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0" fontId="0" fillId="0" borderId="38" xfId="0" applyBorder="1" applyProtection="1"/>
    <xf numFmtId="164" fontId="2" fillId="3" borderId="43" xfId="0" applyNumberFormat="1" applyFont="1" applyFill="1" applyBorder="1" applyProtection="1"/>
    <xf numFmtId="164" fontId="0" fillId="3" borderId="23" xfId="0" applyNumberFormat="1" applyFill="1" applyBorder="1" applyProtection="1"/>
    <xf numFmtId="164" fontId="2" fillId="3" borderId="22" xfId="0" applyNumberFormat="1" applyFont="1" applyFill="1" applyBorder="1" applyProtection="1"/>
    <xf numFmtId="164" fontId="9" fillId="3" borderId="25" xfId="0" applyNumberFormat="1" applyFont="1" applyFill="1" applyBorder="1" applyProtection="1"/>
    <xf numFmtId="164" fontId="2" fillId="3" borderId="44" xfId="0" applyNumberFormat="1" applyFont="1" applyFill="1" applyBorder="1" applyProtection="1"/>
    <xf numFmtId="2" fontId="0" fillId="0" borderId="45" xfId="0" applyNumberFormat="1" applyBorder="1" applyAlignment="1" applyProtection="1">
      <alignment horizontal="center"/>
    </xf>
    <xf numFmtId="2" fontId="0" fillId="0" borderId="0" xfId="0" applyNumberFormat="1" applyBorder="1" applyAlignment="1" applyProtection="1">
      <alignment horizontal="center"/>
    </xf>
    <xf numFmtId="164" fontId="2" fillId="3" borderId="13" xfId="0" applyNumberFormat="1" applyFont="1" applyFill="1" applyBorder="1" applyProtection="1"/>
    <xf numFmtId="0" fontId="0" fillId="4" borderId="43" xfId="0" applyFill="1" applyBorder="1" applyProtection="1"/>
    <xf numFmtId="0" fontId="18" fillId="0" borderId="0" xfId="0" applyFont="1"/>
    <xf numFmtId="0" fontId="4" fillId="0" borderId="42" xfId="0" applyFont="1" applyBorder="1" applyAlignment="1" applyProtection="1">
      <alignment horizontal="center"/>
    </xf>
    <xf numFmtId="1" fontId="0" fillId="4" borderId="8" xfId="0" applyNumberFormat="1" applyFill="1" applyBorder="1" applyProtection="1"/>
    <xf numFmtId="0" fontId="18" fillId="0" borderId="46" xfId="0" applyFont="1" applyBorder="1"/>
    <xf numFmtId="0" fontId="3" fillId="0" borderId="16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</xf>
    <xf numFmtId="0" fontId="11" fillId="5" borderId="50" xfId="0" applyFont="1" applyFill="1" applyBorder="1" applyProtection="1"/>
    <xf numFmtId="0" fontId="0" fillId="5" borderId="3" xfId="0" applyFill="1" applyBorder="1" applyProtection="1"/>
    <xf numFmtId="168" fontId="9" fillId="5" borderId="3" xfId="0" applyNumberFormat="1" applyFont="1" applyFill="1" applyBorder="1" applyProtection="1"/>
    <xf numFmtId="0" fontId="0" fillId="5" borderId="2" xfId="0" applyFill="1" applyBorder="1" applyProtection="1"/>
    <xf numFmtId="168" fontId="9" fillId="5" borderId="2" xfId="0" applyNumberFormat="1" applyFont="1" applyFill="1" applyBorder="1" applyProtection="1"/>
    <xf numFmtId="168" fontId="18" fillId="5" borderId="3" xfId="0" applyNumberFormat="1" applyFont="1" applyFill="1" applyBorder="1" applyProtection="1"/>
    <xf numFmtId="164" fontId="15" fillId="3" borderId="8" xfId="0" applyNumberFormat="1" applyFont="1" applyFill="1" applyBorder="1" applyAlignment="1" applyProtection="1">
      <alignment horizontal="center" wrapText="1"/>
    </xf>
    <xf numFmtId="164" fontId="16" fillId="3" borderId="7" xfId="0" applyNumberFormat="1" applyFont="1" applyFill="1" applyBorder="1" applyAlignment="1" applyProtection="1">
      <alignment horizontal="center" wrapText="1"/>
    </xf>
    <xf numFmtId="164" fontId="16" fillId="3" borderId="8" xfId="0" applyNumberFormat="1" applyFont="1" applyFill="1" applyBorder="1" applyAlignment="1" applyProtection="1">
      <alignment horizontal="center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18" fillId="0" borderId="50" xfId="0" applyFont="1" applyBorder="1"/>
    <xf numFmtId="0" fontId="5" fillId="0" borderId="31" xfId="0" applyFont="1" applyBorder="1" applyAlignment="1" applyProtection="1">
      <alignment horizontal="center"/>
    </xf>
    <xf numFmtId="166" fontId="10" fillId="0" borderId="51" xfId="0" applyNumberFormat="1" applyFont="1" applyFill="1" applyBorder="1" applyProtection="1"/>
    <xf numFmtId="167" fontId="10" fillId="0" borderId="31" xfId="0" applyNumberFormat="1" applyFont="1" applyFill="1" applyBorder="1" applyProtection="1"/>
    <xf numFmtId="175" fontId="10" fillId="0" borderId="31" xfId="0" applyNumberFormat="1" applyFont="1" applyFill="1" applyBorder="1" applyProtection="1"/>
    <xf numFmtId="0" fontId="10" fillId="0" borderId="31" xfId="0" applyFont="1" applyFill="1" applyBorder="1" applyProtection="1"/>
    <xf numFmtId="1" fontId="10" fillId="0" borderId="30" xfId="0" applyNumberFormat="1" applyFont="1" applyBorder="1" applyProtection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164" fontId="2" fillId="3" borderId="28" xfId="0" applyNumberFormat="1" applyFont="1" applyFill="1" applyBorder="1" applyAlignment="1" applyProtection="1">
      <alignment horizontal="center"/>
    </xf>
    <xf numFmtId="164" fontId="9" fillId="3" borderId="29" xfId="0" applyNumberFormat="1" applyFont="1" applyFill="1" applyBorder="1" applyAlignment="1" applyProtection="1">
      <alignment horizontal="center"/>
    </xf>
    <xf numFmtId="0" fontId="0" fillId="7" borderId="52" xfId="0" applyFill="1" applyBorder="1" applyProtection="1">
      <protection locked="0"/>
    </xf>
    <xf numFmtId="0" fontId="0" fillId="7" borderId="53" xfId="0" applyFill="1" applyBorder="1" applyProtection="1">
      <protection locked="0"/>
    </xf>
    <xf numFmtId="0" fontId="0" fillId="7" borderId="54" xfId="0" applyFill="1" applyBorder="1" applyProtection="1">
      <protection locked="0"/>
    </xf>
    <xf numFmtId="0" fontId="19" fillId="0" borderId="0" xfId="0" applyFont="1"/>
    <xf numFmtId="168" fontId="4" fillId="2" borderId="8" xfId="0" applyNumberFormat="1" applyFont="1" applyFill="1" applyBorder="1" applyProtection="1"/>
    <xf numFmtId="168" fontId="4" fillId="2" borderId="28" xfId="0" applyNumberFormat="1" applyFont="1" applyFill="1" applyBorder="1" applyProtection="1"/>
    <xf numFmtId="0" fontId="20" fillId="0" borderId="0" xfId="0" applyFont="1"/>
    <xf numFmtId="0" fontId="21" fillId="0" borderId="0" xfId="0" applyFont="1"/>
    <xf numFmtId="0" fontId="18" fillId="7" borderId="0" xfId="0" applyFont="1" applyFill="1"/>
    <xf numFmtId="2" fontId="18" fillId="0" borderId="0" xfId="0" applyNumberFormat="1" applyFont="1" applyAlignment="1">
      <alignment horizontal="center"/>
    </xf>
    <xf numFmtId="165" fontId="10" fillId="0" borderId="31" xfId="0" applyNumberFormat="1" applyFont="1" applyFill="1" applyBorder="1" applyAlignment="1" applyProtection="1">
      <alignment horizontal="right"/>
    </xf>
    <xf numFmtId="1" fontId="14" fillId="0" borderId="0" xfId="0" applyNumberFormat="1" applyFont="1" applyFill="1" applyAlignment="1">
      <alignment horizontal="center"/>
    </xf>
    <xf numFmtId="0" fontId="0" fillId="0" borderId="0" xfId="0" applyFill="1"/>
    <xf numFmtId="165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166" fontId="10" fillId="0" borderId="0" xfId="0" applyNumberFormat="1" applyFont="1" applyFill="1" applyBorder="1" applyAlignment="1" applyProtection="1">
      <alignment horizontal="right"/>
    </xf>
    <xf numFmtId="167" fontId="10" fillId="0" borderId="0" xfId="0" applyNumberFormat="1" applyFont="1" applyFill="1" applyBorder="1" applyAlignment="1" applyProtection="1">
      <alignment horizontal="right"/>
    </xf>
    <xf numFmtId="165" fontId="10" fillId="0" borderId="0" xfId="0" applyNumberFormat="1" applyFont="1" applyFill="1" applyBorder="1" applyAlignment="1" applyProtection="1">
      <alignment horizontal="right"/>
    </xf>
    <xf numFmtId="0" fontId="4" fillId="2" borderId="43" xfId="0" applyFont="1" applyFill="1" applyBorder="1" applyProtection="1">
      <protection locked="0"/>
    </xf>
    <xf numFmtId="168" fontId="0" fillId="0" borderId="11" xfId="0" applyNumberFormat="1" applyBorder="1" applyAlignment="1" applyProtection="1">
      <alignment horizontal="center"/>
    </xf>
    <xf numFmtId="0" fontId="22" fillId="0" borderId="16" xfId="0" applyFont="1" applyBorder="1"/>
    <xf numFmtId="164" fontId="3" fillId="3" borderId="1" xfId="0" applyNumberFormat="1" applyFont="1" applyFill="1" applyBorder="1" applyProtection="1"/>
    <xf numFmtId="0" fontId="23" fillId="0" borderId="3" xfId="0" applyFont="1" applyBorder="1" applyProtection="1"/>
    <xf numFmtId="0" fontId="4" fillId="8" borderId="43" xfId="0" applyFont="1" applyFill="1" applyBorder="1" applyProtection="1"/>
    <xf numFmtId="164" fontId="3" fillId="3" borderId="8" xfId="0" applyNumberFormat="1" applyFont="1" applyFill="1" applyBorder="1" applyProtection="1"/>
    <xf numFmtId="164" fontId="3" fillId="3" borderId="15" xfId="0" applyNumberFormat="1" applyFont="1" applyFill="1" applyBorder="1" applyProtection="1"/>
    <xf numFmtId="164" fontId="3" fillId="3" borderId="24" xfId="0" applyNumberFormat="1" applyFont="1" applyFill="1" applyBorder="1" applyProtection="1"/>
    <xf numFmtId="0" fontId="22" fillId="0" borderId="34" xfId="0" applyFont="1" applyBorder="1"/>
    <xf numFmtId="164" fontId="3" fillId="3" borderId="56" xfId="0" applyNumberFormat="1" applyFont="1" applyFill="1" applyBorder="1" applyProtection="1"/>
    <xf numFmtId="164" fontId="3" fillId="3" borderId="19" xfId="0" applyNumberFormat="1" applyFont="1" applyFill="1" applyBorder="1" applyProtection="1"/>
    <xf numFmtId="164" fontId="3" fillId="3" borderId="57" xfId="0" applyNumberFormat="1" applyFont="1" applyFill="1" applyBorder="1" applyProtection="1"/>
    <xf numFmtId="164" fontId="3" fillId="3" borderId="44" xfId="0" applyNumberFormat="1" applyFont="1" applyFill="1" applyBorder="1" applyProtection="1"/>
    <xf numFmtId="165" fontId="22" fillId="0" borderId="16" xfId="0" applyNumberFormat="1" applyFont="1" applyBorder="1"/>
    <xf numFmtId="164" fontId="24" fillId="0" borderId="32" xfId="0" applyNumberFormat="1" applyFont="1" applyFill="1" applyBorder="1" applyAlignment="1" applyProtection="1">
      <alignment horizontal="right"/>
    </xf>
    <xf numFmtId="0" fontId="24" fillId="0" borderId="9" xfId="0" applyFont="1" applyFill="1" applyBorder="1" applyAlignment="1" applyProtection="1">
      <alignment horizontal="right"/>
    </xf>
    <xf numFmtId="171" fontId="24" fillId="0" borderId="9" xfId="0" applyNumberFormat="1" applyFont="1" applyFill="1" applyBorder="1" applyAlignment="1" applyProtection="1">
      <alignment horizontal="right"/>
    </xf>
    <xf numFmtId="0" fontId="24" fillId="0" borderId="10" xfId="0" applyFont="1" applyBorder="1" applyAlignment="1" applyProtection="1">
      <alignment horizontal="right"/>
    </xf>
    <xf numFmtId="164" fontId="24" fillId="0" borderId="34" xfId="0" applyNumberFormat="1" applyFont="1" applyFill="1" applyBorder="1" applyAlignment="1" applyProtection="1">
      <alignment horizontal="right"/>
    </xf>
    <xf numFmtId="169" fontId="24" fillId="0" borderId="16" xfId="0" applyNumberFormat="1" applyFont="1" applyFill="1" applyBorder="1" applyAlignment="1">
      <alignment horizontal="center"/>
    </xf>
    <xf numFmtId="165" fontId="24" fillId="0" borderId="16" xfId="0" applyNumberFormat="1" applyFont="1" applyFill="1" applyBorder="1" applyAlignment="1">
      <alignment horizontal="center"/>
    </xf>
    <xf numFmtId="171" fontId="24" fillId="0" borderId="33" xfId="0" applyNumberFormat="1" applyFont="1" applyFill="1" applyBorder="1" applyAlignment="1" applyProtection="1">
      <alignment horizontal="right"/>
    </xf>
    <xf numFmtId="0" fontId="24" fillId="0" borderId="13" xfId="0" applyFont="1" applyBorder="1" applyAlignment="1" applyProtection="1">
      <alignment horizontal="right"/>
    </xf>
    <xf numFmtId="164" fontId="24" fillId="0" borderId="41" xfId="0" applyNumberFormat="1" applyFont="1" applyFill="1" applyBorder="1" applyAlignment="1" applyProtection="1">
      <alignment horizontal="right"/>
    </xf>
    <xf numFmtId="0" fontId="24" fillId="0" borderId="26" xfId="0" applyFont="1" applyFill="1" applyBorder="1" applyAlignment="1" applyProtection="1">
      <alignment horizontal="right"/>
    </xf>
    <xf numFmtId="173" fontId="24" fillId="0" borderId="26" xfId="0" applyNumberFormat="1" applyFont="1" applyFill="1" applyBorder="1" applyAlignment="1" applyProtection="1">
      <alignment horizontal="right"/>
    </xf>
    <xf numFmtId="170" fontId="24" fillId="0" borderId="26" xfId="0" applyNumberFormat="1" applyFont="1" applyFill="1" applyBorder="1" applyAlignment="1" applyProtection="1">
      <alignment horizontal="right"/>
    </xf>
    <xf numFmtId="165" fontId="24" fillId="0" borderId="26" xfId="0" applyNumberFormat="1" applyFont="1" applyFill="1" applyBorder="1" applyAlignment="1" applyProtection="1">
      <alignment horizontal="right"/>
    </xf>
    <xf numFmtId="0" fontId="24" fillId="0" borderId="27" xfId="0" applyFont="1" applyBorder="1" applyAlignment="1" applyProtection="1">
      <alignment horizontal="right"/>
    </xf>
    <xf numFmtId="164" fontId="22" fillId="0" borderId="32" xfId="0" applyNumberFormat="1" applyFont="1" applyFill="1" applyBorder="1" applyAlignment="1" applyProtection="1">
      <alignment horizontal="right"/>
    </xf>
    <xf numFmtId="176" fontId="22" fillId="0" borderId="9" xfId="0" applyNumberFormat="1" applyFont="1" applyFill="1" applyBorder="1" applyAlignment="1" applyProtection="1">
      <alignment horizontal="right"/>
    </xf>
    <xf numFmtId="0" fontId="22" fillId="0" borderId="9" xfId="0" applyFont="1" applyFill="1" applyBorder="1" applyAlignment="1" applyProtection="1">
      <alignment horizontal="right"/>
    </xf>
    <xf numFmtId="171" fontId="22" fillId="0" borderId="9" xfId="0" applyNumberFormat="1" applyFont="1" applyFill="1" applyBorder="1" applyAlignment="1" applyProtection="1">
      <alignment horizontal="right"/>
    </xf>
    <xf numFmtId="0" fontId="22" fillId="0" borderId="10" xfId="0" applyFont="1" applyBorder="1" applyAlignment="1" applyProtection="1">
      <alignment horizontal="right"/>
    </xf>
    <xf numFmtId="166" fontId="22" fillId="0" borderId="40" xfId="0" applyNumberFormat="1" applyFont="1" applyFill="1" applyBorder="1" applyAlignment="1" applyProtection="1">
      <alignment horizontal="right"/>
    </xf>
    <xf numFmtId="169" fontId="22" fillId="0" borderId="40" xfId="0" applyNumberFormat="1" applyFont="1" applyFill="1" applyBorder="1" applyAlignment="1" applyProtection="1">
      <alignment horizontal="right"/>
    </xf>
    <xf numFmtId="165" fontId="22" fillId="0" borderId="40" xfId="0" applyNumberFormat="1" applyFont="1" applyFill="1" applyBorder="1" applyAlignment="1" applyProtection="1">
      <alignment horizontal="right"/>
    </xf>
    <xf numFmtId="171" fontId="22" fillId="0" borderId="33" xfId="0" applyNumberFormat="1" applyFont="1" applyFill="1" applyBorder="1" applyAlignment="1" applyProtection="1">
      <alignment horizontal="right"/>
    </xf>
    <xf numFmtId="0" fontId="22" fillId="0" borderId="13" xfId="0" applyFont="1" applyBorder="1" applyAlignment="1" applyProtection="1">
      <alignment horizontal="right"/>
    </xf>
    <xf numFmtId="164" fontId="22" fillId="0" borderId="41" xfId="0" applyNumberFormat="1" applyFont="1" applyFill="1" applyBorder="1" applyAlignment="1" applyProtection="1">
      <alignment horizontal="right"/>
    </xf>
    <xf numFmtId="0" fontId="22" fillId="0" borderId="26" xfId="0" applyFont="1" applyFill="1" applyBorder="1" applyAlignment="1" applyProtection="1">
      <alignment horizontal="right"/>
    </xf>
    <xf numFmtId="173" fontId="22" fillId="0" borderId="26" xfId="0" applyNumberFormat="1" applyFont="1" applyFill="1" applyBorder="1" applyAlignment="1" applyProtection="1">
      <alignment horizontal="right"/>
    </xf>
    <xf numFmtId="170" fontId="22" fillId="0" borderId="26" xfId="0" applyNumberFormat="1" applyFont="1" applyFill="1" applyBorder="1" applyAlignment="1" applyProtection="1">
      <alignment horizontal="right"/>
    </xf>
    <xf numFmtId="165" fontId="22" fillId="0" borderId="26" xfId="0" applyNumberFormat="1" applyFont="1" applyFill="1" applyBorder="1" applyAlignment="1" applyProtection="1">
      <alignment horizontal="right"/>
    </xf>
    <xf numFmtId="0" fontId="22" fillId="0" borderId="27" xfId="0" applyFont="1" applyBorder="1" applyAlignment="1" applyProtection="1">
      <alignment horizontal="right"/>
    </xf>
    <xf numFmtId="169" fontId="24" fillId="0" borderId="9" xfId="0" applyNumberFormat="1" applyFont="1" applyFill="1" applyBorder="1" applyAlignment="1" applyProtection="1">
      <alignment horizontal="right"/>
    </xf>
    <xf numFmtId="165" fontId="24" fillId="0" borderId="9" xfId="0" applyNumberFormat="1" applyFont="1" applyFill="1" applyBorder="1" applyAlignment="1" applyProtection="1">
      <alignment horizontal="right"/>
    </xf>
    <xf numFmtId="165" fontId="24" fillId="0" borderId="16" xfId="0" applyNumberFormat="1" applyFont="1" applyFill="1" applyBorder="1" applyAlignment="1" applyProtection="1">
      <alignment horizontal="right"/>
    </xf>
    <xf numFmtId="0" fontId="24" fillId="0" borderId="17" xfId="0" applyFont="1" applyBorder="1" applyAlignment="1" applyProtection="1">
      <alignment horizontal="right"/>
    </xf>
    <xf numFmtId="164" fontId="24" fillId="0" borderId="35" xfId="0" applyNumberFormat="1" applyFont="1" applyFill="1" applyBorder="1" applyAlignment="1" applyProtection="1">
      <alignment horizontal="right"/>
    </xf>
    <xf numFmtId="0" fontId="24" fillId="0" borderId="36" xfId="0" applyFont="1" applyFill="1" applyBorder="1" applyAlignment="1" applyProtection="1">
      <alignment horizontal="right"/>
    </xf>
    <xf numFmtId="0" fontId="22" fillId="0" borderId="36" xfId="0" applyFont="1" applyBorder="1" applyProtection="1"/>
    <xf numFmtId="0" fontId="22" fillId="0" borderId="37" xfId="0" applyFont="1" applyBorder="1" applyProtection="1"/>
    <xf numFmtId="174" fontId="24" fillId="0" borderId="26" xfId="0" applyNumberFormat="1" applyFont="1" applyFill="1" applyBorder="1" applyAlignment="1" applyProtection="1">
      <alignment horizontal="right"/>
    </xf>
    <xf numFmtId="1" fontId="24" fillId="0" borderId="26" xfId="0" applyNumberFormat="1" applyFont="1" applyFill="1" applyBorder="1" applyAlignment="1" applyProtection="1">
      <alignment horizontal="right"/>
    </xf>
    <xf numFmtId="166" fontId="24" fillId="0" borderId="32" xfId="0" applyNumberFormat="1" applyFont="1" applyFill="1" applyBorder="1" applyAlignment="1" applyProtection="1">
      <alignment horizontal="right"/>
    </xf>
    <xf numFmtId="170" fontId="24" fillId="0" borderId="16" xfId="0" applyNumberFormat="1" applyFont="1" applyFill="1" applyBorder="1" applyAlignment="1" applyProtection="1">
      <alignment horizontal="right"/>
    </xf>
    <xf numFmtId="176" fontId="22" fillId="0" borderId="34" xfId="0" applyNumberFormat="1" applyFont="1" applyBorder="1"/>
    <xf numFmtId="164" fontId="0" fillId="0" borderId="36" xfId="0" applyNumberFormat="1" applyBorder="1"/>
    <xf numFmtId="164" fontId="0" fillId="0" borderId="33" xfId="0" applyNumberFormat="1" applyBorder="1"/>
    <xf numFmtId="164" fontId="0" fillId="0" borderId="55" xfId="0" applyNumberFormat="1" applyBorder="1"/>
    <xf numFmtId="164" fontId="18" fillId="0" borderId="0" xfId="0" applyNumberFormat="1" applyFont="1"/>
    <xf numFmtId="168" fontId="4" fillId="2" borderId="6" xfId="0" applyNumberFormat="1" applyFont="1" applyFill="1" applyBorder="1" applyProtection="1"/>
    <xf numFmtId="0" fontId="4" fillId="0" borderId="20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166" fontId="22" fillId="0" borderId="34" xfId="0" applyNumberFormat="1" applyFont="1" applyBorder="1"/>
    <xf numFmtId="177" fontId="22" fillId="0" borderId="16" xfId="0" applyNumberFormat="1" applyFont="1" applyBorder="1"/>
    <xf numFmtId="164" fontId="0" fillId="6" borderId="52" xfId="0" applyNumberFormat="1" applyFill="1" applyBorder="1" applyAlignment="1">
      <alignment horizontal="center"/>
    </xf>
    <xf numFmtId="164" fontId="0" fillId="6" borderId="53" xfId="0" applyNumberFormat="1" applyFill="1" applyBorder="1" applyAlignment="1">
      <alignment horizontal="center"/>
    </xf>
    <xf numFmtId="164" fontId="0" fillId="6" borderId="54" xfId="0" applyNumberFormat="1" applyFill="1" applyBorder="1" applyAlignment="1">
      <alignment horizontal="center"/>
    </xf>
    <xf numFmtId="164" fontId="18" fillId="6" borderId="0" xfId="0" applyNumberFormat="1" applyFont="1" applyFill="1" applyBorder="1" applyAlignment="1">
      <alignment horizontal="center"/>
    </xf>
    <xf numFmtId="166" fontId="22" fillId="0" borderId="58" xfId="0" applyNumberFormat="1" applyFont="1" applyFill="1" applyBorder="1" applyAlignment="1" applyProtection="1">
      <alignment horizontal="right"/>
    </xf>
    <xf numFmtId="169" fontId="22" fillId="0" borderId="58" xfId="0" applyNumberFormat="1" applyFont="1" applyFill="1" applyBorder="1" applyAlignment="1" applyProtection="1">
      <alignment horizontal="right"/>
    </xf>
    <xf numFmtId="165" fontId="22" fillId="0" borderId="58" xfId="0" applyNumberFormat="1" applyFont="1" applyFill="1" applyBorder="1" applyAlignment="1" applyProtection="1">
      <alignment horizontal="right"/>
    </xf>
    <xf numFmtId="171" fontId="22" fillId="0" borderId="42" xfId="0" applyNumberFormat="1" applyFont="1" applyFill="1" applyBorder="1" applyAlignment="1" applyProtection="1">
      <alignment horizontal="right"/>
    </xf>
    <xf numFmtId="0" fontId="22" fillId="0" borderId="43" xfId="0" applyFont="1" applyBorder="1" applyAlignment="1" applyProtection="1">
      <alignment horizontal="right"/>
    </xf>
    <xf numFmtId="167" fontId="22" fillId="0" borderId="58" xfId="0" applyNumberFormat="1" applyFont="1" applyFill="1" applyBorder="1" applyAlignment="1" applyProtection="1">
      <alignment horizontal="right"/>
    </xf>
    <xf numFmtId="167" fontId="24" fillId="0" borderId="16" xfId="0" applyNumberFormat="1" applyFont="1" applyFill="1" applyBorder="1" applyAlignment="1">
      <alignment horizontal="center"/>
    </xf>
    <xf numFmtId="166" fontId="24" fillId="0" borderId="34" xfId="0" applyNumberFormat="1" applyFont="1" applyFill="1" applyBorder="1" applyAlignment="1" applyProtection="1">
      <alignment horizontal="right"/>
    </xf>
    <xf numFmtId="0" fontId="25" fillId="0" borderId="0" xfId="0" applyFont="1"/>
    <xf numFmtId="170" fontId="24" fillId="0" borderId="16" xfId="0" applyNumberFormat="1" applyFont="1" applyFill="1" applyBorder="1" applyAlignment="1">
      <alignment horizontal="center"/>
    </xf>
    <xf numFmtId="164" fontId="22" fillId="0" borderId="35" xfId="0" applyNumberFormat="1" applyFont="1" applyFill="1" applyBorder="1" applyAlignment="1" applyProtection="1">
      <alignment horizontal="right"/>
    </xf>
    <xf numFmtId="0" fontId="24" fillId="0" borderId="22" xfId="0" applyFont="1" applyBorder="1" applyAlignment="1" applyProtection="1">
      <alignment horizontal="right"/>
    </xf>
    <xf numFmtId="0" fontId="4" fillId="2" borderId="8" xfId="0" applyFont="1" applyFill="1" applyBorder="1" applyProtection="1">
      <protection locked="0"/>
    </xf>
    <xf numFmtId="0" fontId="22" fillId="0" borderId="32" xfId="0" applyFont="1" applyBorder="1"/>
    <xf numFmtId="0" fontId="22" fillId="0" borderId="9" xfId="0" applyFont="1" applyBorder="1"/>
    <xf numFmtId="170" fontId="24" fillId="0" borderId="9" xfId="0" applyNumberFormat="1" applyFont="1" applyFill="1" applyBorder="1" applyAlignment="1" applyProtection="1">
      <alignment horizontal="right"/>
    </xf>
    <xf numFmtId="1" fontId="24" fillId="0" borderId="10" xfId="0" applyNumberFormat="1" applyFont="1" applyBorder="1" applyProtection="1"/>
    <xf numFmtId="164" fontId="26" fillId="3" borderId="1" xfId="0" applyNumberFormat="1" applyFont="1" applyFill="1" applyBorder="1" applyProtection="1"/>
    <xf numFmtId="0" fontId="1" fillId="9" borderId="0" xfId="0" applyFont="1" applyFill="1" applyProtection="1"/>
    <xf numFmtId="0" fontId="0" fillId="9" borderId="0" xfId="0" applyFill="1" applyProtection="1"/>
    <xf numFmtId="0" fontId="2" fillId="9" borderId="0" xfId="0" applyFont="1" applyFill="1" applyProtection="1"/>
    <xf numFmtId="0" fontId="3" fillId="9" borderId="0" xfId="0" applyFont="1" applyFill="1" applyProtection="1"/>
    <xf numFmtId="0" fontId="4" fillId="9" borderId="0" xfId="0" applyFont="1" applyFill="1" applyProtection="1"/>
    <xf numFmtId="0" fontId="8" fillId="9" borderId="0" xfId="0" applyFont="1" applyFill="1" applyBorder="1" applyAlignment="1" applyProtection="1">
      <alignment horizontal="left"/>
    </xf>
    <xf numFmtId="0" fontId="0" fillId="9" borderId="0" xfId="0" applyFill="1" applyBorder="1" applyAlignment="1" applyProtection="1">
      <alignment horizontal="center"/>
    </xf>
    <xf numFmtId="0" fontId="0" fillId="9" borderId="0" xfId="0" applyFill="1" applyBorder="1" applyProtection="1"/>
    <xf numFmtId="166" fontId="0" fillId="9" borderId="0" xfId="0" applyNumberFormat="1" applyFill="1" applyBorder="1" applyProtection="1"/>
    <xf numFmtId="164" fontId="2" fillId="9" borderId="0" xfId="0" applyNumberFormat="1" applyFont="1" applyFill="1" applyBorder="1" applyProtection="1"/>
    <xf numFmtId="0" fontId="10" fillId="9" borderId="0" xfId="0" applyFont="1" applyFill="1" applyBorder="1" applyAlignment="1" applyProtection="1">
      <alignment horizontal="right"/>
    </xf>
    <xf numFmtId="2" fontId="0" fillId="9" borderId="4" xfId="0" applyNumberFormat="1" applyFill="1" applyBorder="1" applyAlignment="1" applyProtection="1">
      <alignment horizontal="center"/>
    </xf>
    <xf numFmtId="0" fontId="0" fillId="9" borderId="0" xfId="0" applyFill="1"/>
    <xf numFmtId="2" fontId="9" fillId="9" borderId="0" xfId="0" applyNumberFormat="1" applyFont="1" applyFill="1" applyBorder="1" applyProtection="1"/>
    <xf numFmtId="0" fontId="2" fillId="9" borderId="0" xfId="0" applyFont="1" applyFill="1" applyBorder="1" applyProtection="1"/>
    <xf numFmtId="0" fontId="3" fillId="9" borderId="0" xfId="0" applyFont="1" applyFill="1" applyBorder="1" applyAlignment="1" applyProtection="1">
      <alignment horizontal="right"/>
    </xf>
    <xf numFmtId="0" fontId="12" fillId="9" borderId="0" xfId="0" applyFont="1" applyFill="1" applyBorder="1" applyProtection="1"/>
    <xf numFmtId="1" fontId="12" fillId="9" borderId="0" xfId="0" applyNumberFormat="1" applyFont="1" applyFill="1" applyBorder="1" applyProtection="1"/>
    <xf numFmtId="169" fontId="12" fillId="9" borderId="0" xfId="0" applyNumberFormat="1" applyFont="1" applyFill="1" applyBorder="1" applyProtection="1"/>
    <xf numFmtId="2" fontId="0" fillId="9" borderId="0" xfId="0" applyNumberForma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164" fontId="5" fillId="9" borderId="0" xfId="0" applyNumberFormat="1" applyFont="1" applyFill="1" applyBorder="1" applyProtection="1"/>
    <xf numFmtId="164" fontId="0" fillId="9" borderId="0" xfId="0" applyNumberFormat="1" applyFill="1" applyProtection="1"/>
    <xf numFmtId="164" fontId="2" fillId="9" borderId="0" xfId="0" applyNumberFormat="1" applyFont="1" applyFill="1" applyProtection="1"/>
    <xf numFmtId="0" fontId="14" fillId="9" borderId="0" xfId="0" applyFont="1" applyFill="1" applyProtection="1"/>
    <xf numFmtId="0" fontId="0" fillId="9" borderId="0" xfId="0" applyFill="1" applyAlignment="1" applyProtection="1">
      <alignment horizontal="center" vertical="center"/>
    </xf>
    <xf numFmtId="0" fontId="18" fillId="9" borderId="46" xfId="0" applyFont="1" applyFill="1" applyBorder="1"/>
    <xf numFmtId="0" fontId="4" fillId="9" borderId="5" xfId="0" applyFont="1" applyFill="1" applyBorder="1" applyAlignment="1" applyProtection="1">
      <alignment horizontal="center"/>
    </xf>
    <xf numFmtId="0" fontId="0" fillId="9" borderId="47" xfId="0" applyFill="1" applyBorder="1"/>
    <xf numFmtId="0" fontId="4" fillId="9" borderId="12" xfId="0" applyFont="1" applyFill="1" applyBorder="1" applyAlignment="1" applyProtection="1">
      <alignment horizontal="center"/>
    </xf>
    <xf numFmtId="0" fontId="0" fillId="9" borderId="48" xfId="0" applyFill="1" applyBorder="1"/>
    <xf numFmtId="0" fontId="0" fillId="9" borderId="39" xfId="0" applyFill="1" applyBorder="1" applyAlignment="1" applyProtection="1">
      <alignment horizontal="center"/>
    </xf>
    <xf numFmtId="0" fontId="18" fillId="9" borderId="0" xfId="0" applyFont="1" applyFill="1"/>
    <xf numFmtId="0" fontId="18" fillId="9" borderId="47" xfId="0" applyFont="1" applyFill="1" applyBorder="1"/>
    <xf numFmtId="0" fontId="0" fillId="9" borderId="33" xfId="0" applyFill="1" applyBorder="1" applyAlignment="1" applyProtection="1">
      <alignment horizontal="center"/>
    </xf>
    <xf numFmtId="0" fontId="0" fillId="9" borderId="39" xfId="0" applyFill="1" applyBorder="1" applyProtection="1"/>
    <xf numFmtId="0" fontId="4" fillId="9" borderId="42" xfId="0" applyFont="1" applyFill="1" applyBorder="1" applyAlignment="1" applyProtection="1">
      <alignment horizontal="center"/>
    </xf>
    <xf numFmtId="0" fontId="4" fillId="9" borderId="21" xfId="0" applyFont="1" applyFill="1" applyBorder="1" applyAlignment="1" applyProtection="1">
      <alignment horizontal="center"/>
    </xf>
    <xf numFmtId="0" fontId="5" fillId="9" borderId="42" xfId="0" applyFont="1" applyFill="1" applyBorder="1" applyAlignment="1" applyProtection="1">
      <alignment horizontal="center"/>
    </xf>
    <xf numFmtId="168" fontId="9" fillId="9" borderId="0" xfId="0" applyNumberFormat="1" applyFont="1" applyFill="1" applyBorder="1" applyProtection="1"/>
    <xf numFmtId="0" fontId="11" fillId="9" borderId="2" xfId="0" applyFont="1" applyFill="1" applyBorder="1" applyProtection="1"/>
    <xf numFmtId="0" fontId="18" fillId="9" borderId="0" xfId="0" applyFont="1" applyFill="1" applyProtection="1"/>
    <xf numFmtId="0" fontId="0" fillId="9" borderId="47" xfId="0" applyFill="1" applyBorder="1" applyProtection="1"/>
    <xf numFmtId="0" fontId="0" fillId="9" borderId="48" xfId="0" applyFill="1" applyBorder="1" applyProtection="1"/>
    <xf numFmtId="0" fontId="4" fillId="2" borderId="28" xfId="0" applyFont="1" applyFill="1" applyBorder="1"/>
    <xf numFmtId="0" fontId="4" fillId="9" borderId="33" xfId="0" applyFont="1" applyFill="1" applyBorder="1" applyAlignment="1" applyProtection="1">
      <alignment horizontal="center"/>
    </xf>
  </cellXfs>
  <cellStyles count="2">
    <cellStyle name="Normální" xfId="0" builtinId="0"/>
    <cellStyle name="normální 2" xfId="1" xr:uid="{D921FF61-2F84-48D4-9593-854ACA03F3E5}"/>
  </cellStyles>
  <dxfs count="0"/>
  <tableStyles count="0" defaultTableStyle="TableStyleMedium9" defaultPivotStyle="PivotStyleLight16"/>
  <colors>
    <mruColors>
      <color rgb="FFD1FFFF"/>
      <color rgb="FF7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1"/>
  <sheetViews>
    <sheetView tabSelected="1" zoomScale="110" zoomScaleNormal="11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17" sqref="B17"/>
    </sheetView>
  </sheetViews>
  <sheetFormatPr defaultRowHeight="15" x14ac:dyDescent="0.25"/>
  <cols>
    <col min="1" max="1" width="10.7109375" customWidth="1"/>
    <col min="7" max="7" width="10.7109375" customWidth="1"/>
    <col min="8" max="8" width="11.140625" customWidth="1"/>
    <col min="9" max="11" width="12.140625" customWidth="1"/>
    <col min="12" max="12" width="11.42578125" customWidth="1"/>
    <col min="13" max="13" width="7.28515625" customWidth="1"/>
    <col min="14" max="14" width="2.7109375" customWidth="1"/>
  </cols>
  <sheetData>
    <row r="1" spans="1:15" ht="15.75" x14ac:dyDescent="0.25">
      <c r="A1" s="197" t="s">
        <v>88</v>
      </c>
      <c r="B1" s="198"/>
      <c r="C1" s="198"/>
      <c r="D1" s="198"/>
      <c r="E1" s="199"/>
      <c r="F1" s="200"/>
      <c r="G1" s="198"/>
      <c r="H1" s="198"/>
      <c r="I1" s="198"/>
      <c r="J1" s="198"/>
      <c r="K1" s="198"/>
      <c r="L1" s="198"/>
      <c r="M1" s="198"/>
      <c r="N1" s="198"/>
      <c r="O1" s="198"/>
    </row>
    <row r="2" spans="1:15" ht="15.75" thickBot="1" x14ac:dyDescent="0.3">
      <c r="A2" s="201"/>
      <c r="B2" s="198"/>
      <c r="C2" s="198"/>
      <c r="D2" s="198"/>
      <c r="E2" s="199"/>
      <c r="F2" s="200"/>
      <c r="G2" s="198" t="s">
        <v>0</v>
      </c>
      <c r="H2" s="198"/>
      <c r="I2" s="198"/>
      <c r="J2" s="198"/>
      <c r="K2" s="198"/>
      <c r="L2" s="198"/>
      <c r="M2" s="198"/>
      <c r="N2" s="198"/>
      <c r="O2" s="198"/>
    </row>
    <row r="3" spans="1:15" ht="25.5" x14ac:dyDescent="0.25">
      <c r="A3" s="60" t="s">
        <v>26</v>
      </c>
      <c r="B3" s="61" t="s">
        <v>29</v>
      </c>
      <c r="C3" s="62" t="s">
        <v>1</v>
      </c>
      <c r="D3" s="70" t="s">
        <v>2</v>
      </c>
      <c r="E3" s="71" t="s">
        <v>3</v>
      </c>
      <c r="F3" s="69" t="s">
        <v>4</v>
      </c>
      <c r="G3" s="171" t="s">
        <v>5</v>
      </c>
      <c r="H3" s="172" t="s">
        <v>6</v>
      </c>
      <c r="I3" s="172" t="s">
        <v>7</v>
      </c>
      <c r="J3" s="172" t="s">
        <v>8</v>
      </c>
      <c r="K3" s="172" t="s">
        <v>9</v>
      </c>
      <c r="L3" s="172" t="s">
        <v>10</v>
      </c>
      <c r="M3" s="172" t="s">
        <v>11</v>
      </c>
      <c r="N3" s="222"/>
      <c r="O3" s="2" t="s">
        <v>12</v>
      </c>
    </row>
    <row r="4" spans="1:15" x14ac:dyDescent="0.25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</row>
    <row r="5" spans="1:15" ht="16.5" thickBot="1" x14ac:dyDescent="0.3">
      <c r="A5" s="217" t="s">
        <v>19</v>
      </c>
      <c r="B5" s="203"/>
      <c r="C5" s="204"/>
      <c r="D5" s="205"/>
      <c r="E5" s="206"/>
      <c r="F5" s="207"/>
      <c r="G5" s="207"/>
      <c r="H5" s="207"/>
      <c r="I5" s="207"/>
      <c r="J5" s="207"/>
      <c r="K5" s="207"/>
      <c r="L5" s="207"/>
      <c r="M5" s="207"/>
      <c r="N5" s="204"/>
      <c r="O5" s="208"/>
    </row>
    <row r="6" spans="1:15" ht="15.75" thickBot="1" x14ac:dyDescent="0.3">
      <c r="A6" s="223" t="s">
        <v>62</v>
      </c>
      <c r="B6" s="224" t="s">
        <v>14</v>
      </c>
      <c r="C6" s="3">
        <v>30</v>
      </c>
      <c r="D6" s="4">
        <f>ROUND(IF(C6&lt;O6,G6,IF(C6&lt;O7,G7+H7*C6+I7*C6^2+J7*C6^3+K7*C6^4+L7*C6^5+M7*C6^6,G8)),2)</f>
        <v>607.26</v>
      </c>
      <c r="E6" s="5">
        <f>ROUND(C6/D6,3)</f>
        <v>4.9000000000000002E-2</v>
      </c>
      <c r="F6" s="119" t="s">
        <v>20</v>
      </c>
      <c r="G6" s="122">
        <v>584.20000000000005</v>
      </c>
      <c r="H6" s="123"/>
      <c r="I6" s="123"/>
      <c r="J6" s="124"/>
      <c r="K6" s="124"/>
      <c r="L6" s="124"/>
      <c r="M6" s="125"/>
      <c r="N6" s="198"/>
      <c r="O6" s="7">
        <v>10</v>
      </c>
    </row>
    <row r="7" spans="1:15" x14ac:dyDescent="0.25">
      <c r="A7" s="225"/>
      <c r="B7" s="226"/>
      <c r="C7" s="55"/>
      <c r="D7" s="37"/>
      <c r="E7" s="9"/>
      <c r="F7" s="114" t="s">
        <v>63</v>
      </c>
      <c r="G7" s="126">
        <v>569.17200000000003</v>
      </c>
      <c r="H7" s="127">
        <v>1.6351070000000001</v>
      </c>
      <c r="I7" s="128">
        <v>-1.377039E-2</v>
      </c>
      <c r="J7" s="128">
        <v>5.517269E-5</v>
      </c>
      <c r="K7" s="128">
        <v>-8.1234750000000006E-8</v>
      </c>
      <c r="L7" s="129"/>
      <c r="M7" s="130"/>
      <c r="N7" s="198"/>
      <c r="O7" s="7">
        <v>249</v>
      </c>
    </row>
    <row r="8" spans="1:15" ht="15.75" thickBot="1" x14ac:dyDescent="0.3">
      <c r="A8" s="227"/>
      <c r="B8" s="228"/>
      <c r="C8" s="31"/>
      <c r="D8" s="13"/>
      <c r="E8" s="14"/>
      <c r="F8" s="120" t="s">
        <v>64</v>
      </c>
      <c r="G8" s="131">
        <v>662</v>
      </c>
      <c r="H8" s="132"/>
      <c r="I8" s="133"/>
      <c r="J8" s="134"/>
      <c r="K8" s="134"/>
      <c r="L8" s="135"/>
      <c r="M8" s="136"/>
      <c r="N8" s="198"/>
      <c r="O8" s="30"/>
    </row>
    <row r="9" spans="1:15" ht="15.75" thickBot="1" x14ac:dyDescent="0.3">
      <c r="A9" s="63" t="s">
        <v>101</v>
      </c>
      <c r="B9" s="66"/>
      <c r="C9" s="67"/>
      <c r="D9" s="65">
        <f>12/D6*I9</f>
        <v>441.47811481078946</v>
      </c>
      <c r="E9" s="16" t="s">
        <v>16</v>
      </c>
      <c r="F9" s="17"/>
      <c r="G9" s="18"/>
      <c r="H9" s="17" t="s">
        <v>18</v>
      </c>
      <c r="I9" s="19">
        <v>22341</v>
      </c>
      <c r="J9" s="21"/>
      <c r="K9" s="21"/>
      <c r="L9" s="21"/>
      <c r="M9" s="22"/>
      <c r="N9" s="198"/>
      <c r="O9" s="46"/>
    </row>
    <row r="10" spans="1:15" x14ac:dyDescent="0.25">
      <c r="A10" s="209"/>
      <c r="B10" s="204"/>
      <c r="C10" s="210"/>
      <c r="D10" s="204"/>
      <c r="E10" s="211"/>
      <c r="F10" s="212"/>
      <c r="G10" s="207"/>
      <c r="H10" s="211"/>
      <c r="I10" s="211"/>
      <c r="J10" s="211"/>
      <c r="K10" s="211"/>
      <c r="L10" s="211"/>
      <c r="M10" s="204"/>
      <c r="N10" s="198"/>
      <c r="O10" s="204"/>
    </row>
    <row r="11" spans="1:15" ht="16.5" thickBot="1" x14ac:dyDescent="0.3">
      <c r="A11" s="217" t="s">
        <v>89</v>
      </c>
      <c r="B11" s="203"/>
      <c r="C11" s="204"/>
      <c r="D11" s="205"/>
      <c r="E11" s="206"/>
      <c r="F11" s="207"/>
      <c r="G11" s="207"/>
      <c r="H11" s="207"/>
      <c r="I11" s="207"/>
      <c r="J11" s="207"/>
      <c r="K11" s="207"/>
      <c r="L11" s="207"/>
      <c r="M11" s="207"/>
      <c r="N11" s="204"/>
      <c r="O11" s="208"/>
    </row>
    <row r="12" spans="1:15" ht="15.75" thickBot="1" x14ac:dyDescent="0.3">
      <c r="A12" s="223" t="s">
        <v>66</v>
      </c>
      <c r="B12" s="224" t="s">
        <v>13</v>
      </c>
      <c r="C12" s="3">
        <v>25</v>
      </c>
      <c r="D12" s="4">
        <f>ROUND(IF(C12&lt;O12,G12+H12*C12,IF(C12&lt;O13,G13+H13*C12+I13*C12^2+J13*C12^3+K13*C12^4+L13*C12^5+M13*C12^6,G14)),2)</f>
        <v>47.09</v>
      </c>
      <c r="E12" s="5">
        <f>ROUND(C12/D12,3)</f>
        <v>0.53100000000000003</v>
      </c>
      <c r="F12" s="119" t="s">
        <v>69</v>
      </c>
      <c r="G12" s="137">
        <v>40.61</v>
      </c>
      <c r="H12" s="138"/>
      <c r="I12" s="139"/>
      <c r="J12" s="140"/>
      <c r="K12" s="140"/>
      <c r="L12" s="140"/>
      <c r="M12" s="141"/>
      <c r="N12" s="198"/>
      <c r="O12" s="7">
        <v>20</v>
      </c>
    </row>
    <row r="13" spans="1:15" x14ac:dyDescent="0.25">
      <c r="A13" s="225"/>
      <c r="B13" s="226"/>
      <c r="C13" s="55"/>
      <c r="D13" s="37"/>
      <c r="E13" s="9"/>
      <c r="F13" s="114" t="s">
        <v>70</v>
      </c>
      <c r="G13" s="142">
        <v>10.2867</v>
      </c>
      <c r="H13" s="143">
        <v>1.700024</v>
      </c>
      <c r="I13" s="144">
        <v>-9.5005479999999993E-3</v>
      </c>
      <c r="J13" s="144">
        <v>1.5090699999999999E-5</v>
      </c>
      <c r="K13" s="144"/>
      <c r="L13" s="145"/>
      <c r="M13" s="146"/>
      <c r="N13" s="198"/>
      <c r="O13" s="7">
        <v>130</v>
      </c>
    </row>
    <row r="14" spans="1:15" ht="15.75" thickBot="1" x14ac:dyDescent="0.3">
      <c r="A14" s="227"/>
      <c r="B14" s="228"/>
      <c r="C14" s="31"/>
      <c r="D14" s="13"/>
      <c r="E14" s="14"/>
      <c r="F14" s="120" t="s">
        <v>68</v>
      </c>
      <c r="G14" s="147">
        <v>103.89</v>
      </c>
      <c r="H14" s="148"/>
      <c r="I14" s="149"/>
      <c r="J14" s="150"/>
      <c r="K14" s="150"/>
      <c r="L14" s="151"/>
      <c r="M14" s="152"/>
      <c r="N14" s="198"/>
      <c r="O14" s="30"/>
    </row>
    <row r="15" spans="1:15" x14ac:dyDescent="0.25">
      <c r="A15" s="223" t="s">
        <v>67</v>
      </c>
      <c r="B15" s="224" t="s">
        <v>14</v>
      </c>
      <c r="C15" s="112">
        <f>C12</f>
        <v>25</v>
      </c>
      <c r="D15" s="4">
        <f>ROUND(IF(C15&lt;O15,G15,IF(C15&lt;O16,G16+H16*C15+I16*C15^2+J16*C15^3+K16*C15^4+L16*C15^5+M16*C15^6,G17)),2)</f>
        <v>602.27</v>
      </c>
      <c r="E15" s="5">
        <f>ROUND(C15/D15,3)</f>
        <v>4.2000000000000003E-2</v>
      </c>
      <c r="F15" s="119" t="s">
        <v>69</v>
      </c>
      <c r="G15" s="122">
        <v>596.79</v>
      </c>
      <c r="H15" s="123"/>
      <c r="I15" s="123"/>
      <c r="J15" s="124"/>
      <c r="K15" s="124"/>
      <c r="L15" s="124"/>
      <c r="M15" s="125"/>
      <c r="N15" s="198"/>
      <c r="O15" s="7">
        <v>20</v>
      </c>
    </row>
    <row r="16" spans="1:15" x14ac:dyDescent="0.25">
      <c r="A16" s="225"/>
      <c r="B16" s="226"/>
      <c r="C16" s="8"/>
      <c r="D16" s="37"/>
      <c r="E16" s="9"/>
      <c r="F16" s="114" t="s">
        <v>96</v>
      </c>
      <c r="G16" s="126">
        <v>569.17200000000003</v>
      </c>
      <c r="H16" s="127">
        <v>1.6351070000000001</v>
      </c>
      <c r="I16" s="128">
        <v>-1.377039E-2</v>
      </c>
      <c r="J16" s="128">
        <v>5.517269E-5</v>
      </c>
      <c r="K16" s="128">
        <v>-8.1234750000000006E-8</v>
      </c>
      <c r="L16" s="129"/>
      <c r="M16" s="130"/>
      <c r="N16" s="198"/>
      <c r="O16" s="7">
        <v>249</v>
      </c>
    </row>
    <row r="17" spans="1:24" ht="15.75" thickBot="1" x14ac:dyDescent="0.3">
      <c r="A17" s="227"/>
      <c r="B17" s="228"/>
      <c r="C17" s="31"/>
      <c r="D17" s="13"/>
      <c r="E17" s="14"/>
      <c r="F17" s="120" t="s">
        <v>64</v>
      </c>
      <c r="G17" s="131">
        <v>662</v>
      </c>
      <c r="H17" s="132"/>
      <c r="I17" s="133"/>
      <c r="J17" s="134"/>
      <c r="K17" s="134"/>
      <c r="L17" s="135"/>
      <c r="M17" s="136"/>
      <c r="N17" s="198"/>
      <c r="O17" s="30"/>
    </row>
    <row r="18" spans="1:24" ht="15.75" thickBot="1" x14ac:dyDescent="0.3">
      <c r="A18" s="63" t="s">
        <v>102</v>
      </c>
      <c r="B18" s="66"/>
      <c r="C18" s="65">
        <f>12/D12*G18</f>
        <v>10802.293480569122</v>
      </c>
      <c r="D18" s="65">
        <f>12/D15*I18</f>
        <v>445.1359025022</v>
      </c>
      <c r="E18" s="16" t="s">
        <v>16</v>
      </c>
      <c r="F18" s="17" t="s">
        <v>17</v>
      </c>
      <c r="G18" s="111">
        <v>42390</v>
      </c>
      <c r="H18" s="17" t="s">
        <v>18</v>
      </c>
      <c r="I18" s="19">
        <v>22341</v>
      </c>
      <c r="J18" s="21"/>
      <c r="K18" s="21"/>
      <c r="L18" s="21"/>
      <c r="M18" s="22"/>
      <c r="N18" s="198"/>
      <c r="O18" s="46"/>
    </row>
    <row r="19" spans="1:24" x14ac:dyDescent="0.25">
      <c r="A19" s="209"/>
      <c r="B19" s="204"/>
      <c r="C19" s="210"/>
      <c r="D19" s="204"/>
      <c r="E19" s="211"/>
      <c r="F19" s="212"/>
      <c r="G19" s="207"/>
      <c r="H19" s="211"/>
      <c r="I19" s="211"/>
      <c r="J19" s="211"/>
      <c r="K19" s="211"/>
      <c r="L19" s="211"/>
      <c r="M19" s="204"/>
      <c r="N19" s="198"/>
      <c r="O19" s="204"/>
    </row>
    <row r="20" spans="1:24" ht="16.5" thickBot="1" x14ac:dyDescent="0.3">
      <c r="A20" s="202" t="s">
        <v>90</v>
      </c>
      <c r="B20" s="203"/>
      <c r="C20" s="204"/>
      <c r="D20" s="205"/>
      <c r="E20" s="206"/>
      <c r="F20" s="207"/>
      <c r="G20" s="207"/>
      <c r="H20" s="207"/>
      <c r="I20" s="207"/>
      <c r="J20" s="207"/>
      <c r="K20" s="207"/>
      <c r="L20" s="207"/>
      <c r="M20" s="207"/>
      <c r="N20" s="204"/>
      <c r="O20" s="208"/>
    </row>
    <row r="21" spans="1:24" ht="15.75" thickBot="1" x14ac:dyDescent="0.3">
      <c r="A21" s="223" t="s">
        <v>66</v>
      </c>
      <c r="B21" s="224" t="s">
        <v>13</v>
      </c>
      <c r="C21" s="3">
        <v>60</v>
      </c>
      <c r="D21" s="4">
        <f>ROUND(IF(C21&lt;O21,G21+H21*C21+I21*C21^2+J21*C21^3+K21*C21^4+L21*C21^5+M21*C21^6,G22),2)</f>
        <v>93.3</v>
      </c>
      <c r="E21" s="5">
        <f>ROUND(C21/D21,3)</f>
        <v>0.64300000000000002</v>
      </c>
      <c r="F21" s="113" t="s">
        <v>92</v>
      </c>
      <c r="G21" s="179">
        <v>87.116365337900788</v>
      </c>
      <c r="H21" s="180">
        <v>0.10477251116379625</v>
      </c>
      <c r="I21" s="181">
        <v>-2.9913207943352129E-5</v>
      </c>
      <c r="J21" s="181"/>
      <c r="K21" s="181"/>
      <c r="L21" s="182"/>
      <c r="M21" s="183"/>
      <c r="N21" s="198"/>
      <c r="O21" s="7">
        <v>1750</v>
      </c>
    </row>
    <row r="22" spans="1:24" ht="15.75" thickBot="1" x14ac:dyDescent="0.3">
      <c r="A22" s="227"/>
      <c r="B22" s="228"/>
      <c r="C22" s="31"/>
      <c r="D22" s="13"/>
      <c r="E22" s="14"/>
      <c r="F22" s="120" t="s">
        <v>93</v>
      </c>
      <c r="G22" s="147">
        <v>207.78</v>
      </c>
      <c r="H22" s="148"/>
      <c r="I22" s="149"/>
      <c r="J22" s="150"/>
      <c r="K22" s="150"/>
      <c r="L22" s="151"/>
      <c r="M22" s="152"/>
      <c r="N22" s="198"/>
      <c r="O22" s="30"/>
    </row>
    <row r="23" spans="1:24" x14ac:dyDescent="0.25">
      <c r="A23" s="223" t="s">
        <v>67</v>
      </c>
      <c r="B23" s="224" t="s">
        <v>14</v>
      </c>
      <c r="C23" s="112">
        <f>C21</f>
        <v>60</v>
      </c>
      <c r="D23" s="4">
        <f>ROUND(IF(C23&lt;O23,G23+H23*C23+I23*C23^2+J23*C23^3+K23*C23^4+L23*C23^5+M23*C23^6,G24),2)</f>
        <v>942.85</v>
      </c>
      <c r="E23" s="5">
        <f>ROUND(C23/D23,3)</f>
        <v>6.4000000000000001E-2</v>
      </c>
      <c r="F23" s="114" t="s">
        <v>91</v>
      </c>
      <c r="G23" s="126">
        <v>853.75800000000004</v>
      </c>
      <c r="H23" s="127">
        <v>2.4526605000000004</v>
      </c>
      <c r="I23" s="128">
        <v>-2.0655585000000001E-2</v>
      </c>
      <c r="J23" s="128">
        <v>8.2759035000000007E-5</v>
      </c>
      <c r="K23" s="128">
        <v>-1.21852125E-7</v>
      </c>
      <c r="L23" s="129"/>
      <c r="M23" s="130"/>
      <c r="N23" s="198"/>
      <c r="O23" s="7">
        <v>249</v>
      </c>
    </row>
    <row r="24" spans="1:24" ht="15.75" thickBot="1" x14ac:dyDescent="0.3">
      <c r="A24" s="227"/>
      <c r="B24" s="228"/>
      <c r="C24" s="31"/>
      <c r="D24" s="13"/>
      <c r="E24" s="14"/>
      <c r="F24" s="120" t="s">
        <v>64</v>
      </c>
      <c r="G24" s="131">
        <v>993</v>
      </c>
      <c r="H24" s="132"/>
      <c r="I24" s="133"/>
      <c r="J24" s="134"/>
      <c r="K24" s="134"/>
      <c r="L24" s="135"/>
      <c r="M24" s="136"/>
      <c r="N24" s="198"/>
      <c r="O24" s="30"/>
    </row>
    <row r="25" spans="1:24" ht="15.75" thickBot="1" x14ac:dyDescent="0.3">
      <c r="A25" s="63" t="s">
        <v>102</v>
      </c>
      <c r="B25" s="66"/>
      <c r="C25" s="65">
        <f>12/D21*G25</f>
        <v>5452.0900321543404</v>
      </c>
      <c r="D25" s="65">
        <f>12/D23*I25</f>
        <v>284.34215410722805</v>
      </c>
      <c r="E25" s="16" t="s">
        <v>16</v>
      </c>
      <c r="F25" s="17" t="s">
        <v>17</v>
      </c>
      <c r="G25" s="111">
        <v>42390</v>
      </c>
      <c r="H25" s="17" t="s">
        <v>18</v>
      </c>
      <c r="I25" s="19">
        <v>22341</v>
      </c>
      <c r="J25" s="21"/>
      <c r="K25" s="21"/>
      <c r="L25" s="21"/>
      <c r="M25" s="22"/>
      <c r="N25" s="198"/>
      <c r="O25" s="46"/>
    </row>
    <row r="26" spans="1:24" x14ac:dyDescent="0.25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</row>
    <row r="27" spans="1:24" ht="16.5" thickBot="1" x14ac:dyDescent="0.3">
      <c r="A27" s="217" t="s">
        <v>23</v>
      </c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</row>
    <row r="28" spans="1:24" ht="15.75" thickBot="1" x14ac:dyDescent="0.3">
      <c r="A28" s="229" t="s">
        <v>25</v>
      </c>
      <c r="B28" s="224" t="s">
        <v>13</v>
      </c>
      <c r="C28" s="24">
        <v>45</v>
      </c>
      <c r="D28" s="4">
        <f>ROUND(IF(C28&lt;O28,G28,IF(C28&lt;O29,G29+H29*C28+I29*C28^2+J29*C28^3+K29*C28^4+L29*C28^5+M29*C28^6,IF(C28&lt;O30,G30+H30*C28+I30*C28^2+J30*C28^3+K30*C28^4+L30*C28^5+M30*C28^6,G31))),2)</f>
        <v>14.38</v>
      </c>
      <c r="E28" s="5">
        <f>ROUND(C28/D28,3)</f>
        <v>3.129</v>
      </c>
      <c r="F28" s="110" t="s">
        <v>24</v>
      </c>
      <c r="G28" s="163">
        <v>10.86</v>
      </c>
      <c r="H28" s="153"/>
      <c r="I28" s="123"/>
      <c r="J28" s="154"/>
      <c r="K28" s="154"/>
      <c r="L28" s="154"/>
      <c r="M28" s="125"/>
      <c r="N28" s="198"/>
      <c r="O28" s="108">
        <v>20</v>
      </c>
      <c r="Q28" s="103"/>
      <c r="R28" s="103"/>
      <c r="S28" s="103"/>
      <c r="T28" s="103"/>
      <c r="U28" s="103"/>
      <c r="V28" s="103"/>
      <c r="W28" s="103"/>
      <c r="X28" s="100"/>
    </row>
    <row r="29" spans="1:24" x14ac:dyDescent="0.25">
      <c r="A29" s="230"/>
      <c r="B29" s="231"/>
      <c r="C29" s="27"/>
      <c r="D29" s="11"/>
      <c r="E29" s="9"/>
      <c r="F29" s="114" t="s">
        <v>54</v>
      </c>
      <c r="G29" s="116">
        <v>7.2350460000000005</v>
      </c>
      <c r="H29" s="109">
        <v>0.20188505925</v>
      </c>
      <c r="I29" s="155">
        <v>-1.0824568807500001E-3</v>
      </c>
      <c r="J29" s="155">
        <v>2.9870197875000004E-6</v>
      </c>
      <c r="K29" s="121">
        <v>-4.0771761975000003E-9</v>
      </c>
      <c r="L29" s="155">
        <v>2.1447748350000004E-12</v>
      </c>
      <c r="M29" s="156"/>
      <c r="N29" s="198"/>
      <c r="O29" s="108">
        <v>65</v>
      </c>
      <c r="Q29" s="104"/>
      <c r="R29" s="105"/>
      <c r="S29" s="32"/>
      <c r="T29" s="106"/>
      <c r="U29" s="101"/>
      <c r="V29" s="102"/>
      <c r="W29" s="102"/>
      <c r="X29" s="99"/>
    </row>
    <row r="30" spans="1:24" x14ac:dyDescent="0.25">
      <c r="A30" s="225"/>
      <c r="B30" s="231"/>
      <c r="C30" s="27"/>
      <c r="D30" s="11"/>
      <c r="E30" s="9"/>
      <c r="F30" s="117" t="s">
        <v>55</v>
      </c>
      <c r="G30" s="116">
        <v>8.3656597500000007</v>
      </c>
      <c r="H30" s="109">
        <v>0.16583330925000003</v>
      </c>
      <c r="I30" s="155">
        <v>-6.8755924124999993E-4</v>
      </c>
      <c r="J30" s="155">
        <v>1.287303255E-6</v>
      </c>
      <c r="K30" s="121">
        <v>-9.0188722575000013E-10</v>
      </c>
      <c r="L30" s="155"/>
      <c r="M30" s="156"/>
      <c r="N30" s="198"/>
      <c r="O30" s="108">
        <v>449</v>
      </c>
      <c r="Q30" s="104"/>
      <c r="R30" s="187"/>
      <c r="S30" s="187"/>
      <c r="T30" s="187"/>
      <c r="U30" s="187"/>
      <c r="V30" s="187"/>
      <c r="W30" s="187"/>
      <c r="X30" s="100"/>
    </row>
    <row r="31" spans="1:24" ht="15.75" thickBot="1" x14ac:dyDescent="0.3">
      <c r="A31" s="227"/>
      <c r="B31" s="232"/>
      <c r="C31" s="31"/>
      <c r="D31" s="28"/>
      <c r="E31" s="10"/>
      <c r="F31" s="118" t="s">
        <v>56</v>
      </c>
      <c r="G31" s="189">
        <v>24.08</v>
      </c>
      <c r="H31" s="158"/>
      <c r="I31" s="158"/>
      <c r="J31" s="159"/>
      <c r="K31" s="159"/>
      <c r="L31" s="159"/>
      <c r="M31" s="160"/>
      <c r="N31" s="198"/>
      <c r="O31" s="108"/>
      <c r="Q31" s="103"/>
      <c r="R31" s="103"/>
      <c r="S31" s="103"/>
      <c r="T31" s="103"/>
      <c r="U31" s="103"/>
      <c r="V31" s="103"/>
      <c r="W31" s="103"/>
      <c r="X31" s="100"/>
    </row>
    <row r="32" spans="1:24" ht="15.75" thickBot="1" x14ac:dyDescent="0.3">
      <c r="A32" s="223" t="s">
        <v>15</v>
      </c>
      <c r="B32" s="233" t="s">
        <v>14</v>
      </c>
      <c r="C32" s="58">
        <f>C28</f>
        <v>45</v>
      </c>
      <c r="D32" s="50">
        <f>G32</f>
        <v>30.84</v>
      </c>
      <c r="E32" s="51">
        <f>ROUND(C32/D32,3)</f>
        <v>1.4590000000000001</v>
      </c>
      <c r="F32" s="115" t="s">
        <v>65</v>
      </c>
      <c r="G32" s="157">
        <v>30.84</v>
      </c>
      <c r="H32" s="159"/>
      <c r="I32" s="159"/>
      <c r="J32" s="159"/>
      <c r="K32" s="159"/>
      <c r="L32" s="159"/>
      <c r="M32" s="160"/>
      <c r="N32" s="198"/>
      <c r="O32" s="108">
        <v>10</v>
      </c>
    </row>
    <row r="33" spans="1:15" ht="21.75" customHeight="1" thickBot="1" x14ac:dyDescent="0.3">
      <c r="A33" s="63" t="s">
        <v>58</v>
      </c>
      <c r="B33" s="64"/>
      <c r="C33" s="65">
        <f>12/D28*G33</f>
        <v>36963.004172461748</v>
      </c>
      <c r="D33" s="65">
        <f>12/D32*I33</f>
        <v>9828.4046692607008</v>
      </c>
      <c r="E33" s="16" t="s">
        <v>16</v>
      </c>
      <c r="F33" s="17" t="s">
        <v>17</v>
      </c>
      <c r="G33" s="18">
        <v>44294</v>
      </c>
      <c r="H33" s="17" t="s">
        <v>18</v>
      </c>
      <c r="I33" s="19">
        <v>25259</v>
      </c>
      <c r="J33" s="29"/>
      <c r="K33" s="21"/>
      <c r="L33" s="21"/>
      <c r="M33" s="22"/>
      <c r="N33" s="198"/>
      <c r="O33" s="30"/>
    </row>
    <row r="34" spans="1:15" x14ac:dyDescent="0.25">
      <c r="A34" s="198"/>
      <c r="B34" s="198"/>
      <c r="C34" s="198"/>
      <c r="D34" s="198"/>
      <c r="E34" s="199"/>
      <c r="F34" s="200"/>
      <c r="G34" s="198"/>
      <c r="H34" s="198"/>
      <c r="I34" s="198"/>
      <c r="J34" s="198"/>
      <c r="K34" s="198"/>
      <c r="L34" s="198"/>
      <c r="M34" s="198"/>
      <c r="N34" s="198"/>
      <c r="O34" s="216"/>
    </row>
    <row r="35" spans="1:15" ht="20.25" customHeight="1" thickBot="1" x14ac:dyDescent="0.3">
      <c r="A35" s="217" t="s">
        <v>59</v>
      </c>
      <c r="B35" s="198"/>
      <c r="C35" s="198"/>
      <c r="D35" s="219"/>
      <c r="E35" s="220"/>
      <c r="F35" s="200"/>
      <c r="G35" s="221"/>
      <c r="H35" s="198"/>
      <c r="I35" s="198"/>
      <c r="J35" s="198"/>
      <c r="K35" s="198"/>
      <c r="L35" s="198"/>
      <c r="M35" s="198"/>
      <c r="N35" s="198"/>
      <c r="O35" s="198"/>
    </row>
    <row r="36" spans="1:15" x14ac:dyDescent="0.25">
      <c r="A36" s="229" t="s">
        <v>25</v>
      </c>
      <c r="B36" s="224" t="s">
        <v>13</v>
      </c>
      <c r="C36" s="107">
        <v>85</v>
      </c>
      <c r="D36" s="4">
        <f>ROUND(IF(C36&lt;O36,G36,IF(C36&lt;O37,G37+H37*C36+I37*C36^2+J37*C36^3+K37*C36^4+L37*C36^5+M37*C36^6,G38)),2)</f>
        <v>33.729999999999997</v>
      </c>
      <c r="E36" s="47">
        <f>ROUND(C36/D36,3)</f>
        <v>2.52</v>
      </c>
      <c r="F36" s="113" t="s">
        <v>24</v>
      </c>
      <c r="G36" s="122">
        <v>20.12</v>
      </c>
      <c r="H36" s="153"/>
      <c r="I36" s="123"/>
      <c r="J36" s="154"/>
      <c r="K36" s="154"/>
      <c r="L36" s="154"/>
      <c r="M36" s="125"/>
      <c r="N36" s="198"/>
      <c r="O36" s="7">
        <v>20</v>
      </c>
    </row>
    <row r="37" spans="1:15" x14ac:dyDescent="0.25">
      <c r="A37" s="209"/>
      <c r="B37" s="226"/>
      <c r="C37" s="8"/>
      <c r="D37" s="37"/>
      <c r="E37" s="54"/>
      <c r="F37" s="114" t="s">
        <v>60</v>
      </c>
      <c r="G37" s="116">
        <v>13.403600000000001</v>
      </c>
      <c r="H37" s="109">
        <v>0.37401079999999998</v>
      </c>
      <c r="I37" s="155">
        <v>-2.0053520000000002E-3</v>
      </c>
      <c r="J37" s="155">
        <v>5.5336559999999997E-6</v>
      </c>
      <c r="K37" s="121">
        <v>-7.5533290000000005E-9</v>
      </c>
      <c r="L37" s="155">
        <v>3.973393E-12</v>
      </c>
      <c r="M37" s="156"/>
      <c r="N37" s="198"/>
      <c r="O37" s="7">
        <v>201</v>
      </c>
    </row>
    <row r="38" spans="1:15" ht="15.75" thickBot="1" x14ac:dyDescent="0.3">
      <c r="A38" s="209"/>
      <c r="B38" s="234"/>
      <c r="C38" s="12"/>
      <c r="D38" s="48"/>
      <c r="E38" s="49"/>
      <c r="F38" s="115" t="s">
        <v>61</v>
      </c>
      <c r="G38" s="131">
        <v>41.45</v>
      </c>
      <c r="H38" s="161"/>
      <c r="I38" s="161"/>
      <c r="J38" s="161"/>
      <c r="K38" s="162"/>
      <c r="L38" s="132"/>
      <c r="M38" s="136"/>
      <c r="N38" s="198"/>
      <c r="O38" s="53"/>
    </row>
    <row r="39" spans="1:15" ht="15.75" thickBot="1" x14ac:dyDescent="0.3">
      <c r="A39" s="59" t="s">
        <v>15</v>
      </c>
      <c r="B39" s="57" t="s">
        <v>14</v>
      </c>
      <c r="C39" s="58">
        <f>C36</f>
        <v>85</v>
      </c>
      <c r="D39" s="50">
        <v>30.84</v>
      </c>
      <c r="E39" s="51">
        <f>ROUND(C39/D39,3)</f>
        <v>2.7559999999999998</v>
      </c>
      <c r="F39" s="115" t="s">
        <v>57</v>
      </c>
      <c r="G39" s="157">
        <v>30.84</v>
      </c>
      <c r="H39" s="159"/>
      <c r="I39" s="159"/>
      <c r="J39" s="159"/>
      <c r="K39" s="159"/>
      <c r="L39" s="159"/>
      <c r="M39" s="160"/>
      <c r="N39" s="198"/>
      <c r="O39" s="53"/>
    </row>
    <row r="40" spans="1:15" ht="15.75" thickBot="1" x14ac:dyDescent="0.3">
      <c r="A40" s="63" t="s">
        <v>27</v>
      </c>
      <c r="B40" s="64"/>
      <c r="C40" s="65">
        <f>12/D36*G40</f>
        <v>15758.316039134303</v>
      </c>
      <c r="D40" s="68">
        <f>12/D39*I40</f>
        <v>9828.4046692607008</v>
      </c>
      <c r="E40" s="16" t="s">
        <v>16</v>
      </c>
      <c r="F40" s="17" t="s">
        <v>17</v>
      </c>
      <c r="G40" s="18">
        <v>44294</v>
      </c>
      <c r="H40" s="17" t="s">
        <v>18</v>
      </c>
      <c r="I40" s="19">
        <v>25259</v>
      </c>
      <c r="J40" s="20"/>
      <c r="K40" s="21"/>
      <c r="L40" s="21"/>
      <c r="M40" s="22"/>
      <c r="N40" s="198"/>
      <c r="O40" s="1"/>
    </row>
    <row r="41" spans="1:15" ht="20.25" customHeight="1" x14ac:dyDescent="0.25">
      <c r="A41" s="209"/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</row>
    <row r="42" spans="1:15" ht="16.5" thickBot="1" x14ac:dyDescent="0.3">
      <c r="A42" s="202" t="s">
        <v>94</v>
      </c>
      <c r="B42" s="203"/>
      <c r="C42" s="204"/>
      <c r="D42" s="205"/>
      <c r="E42" s="206"/>
      <c r="F42" s="207"/>
      <c r="G42" s="207"/>
      <c r="H42" s="207"/>
      <c r="I42" s="207"/>
      <c r="J42" s="207"/>
      <c r="K42" s="207"/>
      <c r="L42" s="207"/>
      <c r="M42" s="207"/>
      <c r="N42" s="204"/>
      <c r="O42" s="208"/>
    </row>
    <row r="43" spans="1:15" ht="15.75" thickBot="1" x14ac:dyDescent="0.3">
      <c r="A43" s="223" t="s">
        <v>97</v>
      </c>
      <c r="B43" s="224" t="s">
        <v>13</v>
      </c>
      <c r="C43" s="3">
        <v>550</v>
      </c>
      <c r="D43" s="4">
        <f>ROUND(IF(C43&lt;O43,G43+H43*C43+I43*C43^2+J43*C43^3+K43*C43^4+L43*C43^5+M43*C43^6,G44),3)</f>
        <v>142.017</v>
      </c>
      <c r="E43" s="5">
        <f>ROUND(C43/D43,3)</f>
        <v>3.8730000000000002</v>
      </c>
      <c r="F43" s="113" t="s">
        <v>92</v>
      </c>
      <c r="G43" s="179">
        <v>88.04394222983457</v>
      </c>
      <c r="H43" s="184">
        <v>0.11641390129310654</v>
      </c>
      <c r="I43" s="181">
        <v>-3.3236897714835721E-5</v>
      </c>
      <c r="J43" s="181"/>
      <c r="K43" s="181"/>
      <c r="L43" s="182"/>
      <c r="M43" s="183"/>
      <c r="N43" s="198"/>
      <c r="O43" s="7">
        <v>1750</v>
      </c>
    </row>
    <row r="44" spans="1:15" ht="15.75" thickBot="1" x14ac:dyDescent="0.3">
      <c r="A44" s="227"/>
      <c r="B44" s="228"/>
      <c r="C44" s="31"/>
      <c r="D44" s="13"/>
      <c r="E44" s="14"/>
      <c r="F44" s="120" t="s">
        <v>93</v>
      </c>
      <c r="G44" s="147">
        <v>189.98</v>
      </c>
      <c r="H44" s="148"/>
      <c r="I44" s="149"/>
      <c r="J44" s="150"/>
      <c r="K44" s="150"/>
      <c r="L44" s="151"/>
      <c r="M44" s="152"/>
      <c r="N44" s="198"/>
      <c r="O44" s="30"/>
    </row>
    <row r="45" spans="1:15" x14ac:dyDescent="0.25">
      <c r="A45" s="223" t="s">
        <v>99</v>
      </c>
      <c r="B45" s="224" t="s">
        <v>14</v>
      </c>
      <c r="C45" s="112">
        <f>C43</f>
        <v>550</v>
      </c>
      <c r="D45" s="4">
        <f>ROUND(IF(C45&lt;O45,G45+H45*C45+I45*C45^2+J45*C45^3+K45*C45^4+L45*C45^5+M45*C45^6,G46),3)</f>
        <v>322.27</v>
      </c>
      <c r="E45" s="5">
        <f>ROUND(C45/D45,3)</f>
        <v>1.7070000000000001</v>
      </c>
      <c r="F45" s="113" t="s">
        <v>92</v>
      </c>
      <c r="G45" s="126">
        <v>199.79202275231691</v>
      </c>
      <c r="H45" s="185">
        <v>0.26417000678051089</v>
      </c>
      <c r="I45" s="128">
        <v>-7.5422190968281198E-5</v>
      </c>
      <c r="J45" s="128"/>
      <c r="K45" s="128"/>
      <c r="L45" s="129"/>
      <c r="M45" s="130"/>
      <c r="N45" s="198"/>
      <c r="O45" s="7">
        <v>1750</v>
      </c>
    </row>
    <row r="46" spans="1:15" ht="15.75" thickBot="1" x14ac:dyDescent="0.3">
      <c r="A46" s="227"/>
      <c r="B46" s="228"/>
      <c r="C46" s="31"/>
      <c r="D46" s="13"/>
      <c r="E46" s="14"/>
      <c r="F46" s="120" t="s">
        <v>93</v>
      </c>
      <c r="G46" s="131">
        <v>431.11</v>
      </c>
      <c r="H46" s="132"/>
      <c r="I46" s="133"/>
      <c r="J46" s="134"/>
      <c r="K46" s="134"/>
      <c r="L46" s="135"/>
      <c r="M46" s="136"/>
      <c r="N46" s="198"/>
      <c r="O46" s="30"/>
    </row>
    <row r="47" spans="1:15" ht="15.75" thickBot="1" x14ac:dyDescent="0.3">
      <c r="A47" s="63" t="s">
        <v>100</v>
      </c>
      <c r="B47" s="66"/>
      <c r="C47" s="65">
        <f>12/D43*G47</f>
        <v>3855.1722681087476</v>
      </c>
      <c r="D47" s="65">
        <f>12/D45*I47</f>
        <v>989.98976013901392</v>
      </c>
      <c r="E47" s="16" t="s">
        <v>16</v>
      </c>
      <c r="F47" s="17" t="s">
        <v>17</v>
      </c>
      <c r="G47" s="111">
        <v>45625</v>
      </c>
      <c r="H47" s="17" t="s">
        <v>18</v>
      </c>
      <c r="I47" s="19">
        <v>26587</v>
      </c>
      <c r="J47" s="21"/>
      <c r="K47" s="21"/>
      <c r="L47" s="21"/>
      <c r="M47" s="22"/>
      <c r="N47" s="198"/>
      <c r="O47" s="46"/>
    </row>
    <row r="48" spans="1:15" x14ac:dyDescent="0.25">
      <c r="A48" s="209"/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</row>
    <row r="49" spans="1:15" ht="16.5" thickBot="1" x14ac:dyDescent="0.3">
      <c r="A49" s="202" t="s">
        <v>95</v>
      </c>
      <c r="B49" s="203"/>
      <c r="C49" s="204"/>
      <c r="D49" s="205"/>
      <c r="E49" s="206"/>
      <c r="F49" s="207"/>
      <c r="G49" s="207"/>
      <c r="H49" s="207"/>
      <c r="I49" s="207"/>
      <c r="J49" s="207"/>
      <c r="K49" s="207"/>
      <c r="L49" s="207"/>
      <c r="M49" s="207"/>
      <c r="N49" s="204"/>
      <c r="O49" s="208"/>
    </row>
    <row r="50" spans="1:15" ht="15.75" thickBot="1" x14ac:dyDescent="0.3">
      <c r="A50" s="223" t="s">
        <v>98</v>
      </c>
      <c r="B50" s="224" t="s">
        <v>13</v>
      </c>
      <c r="C50" s="3">
        <v>50</v>
      </c>
      <c r="D50" s="4">
        <f>ROUND(IF(C50&lt;O50,G50+H50*C50+I50*C50^2+J50*C50^3+K50*C50^4+L50*C50^5+M50*C50^6,G51),3)</f>
        <v>92.28</v>
      </c>
      <c r="E50" s="5">
        <f>ROUND(C50/D50,3)</f>
        <v>0.54200000000000004</v>
      </c>
      <c r="F50" s="113" t="s">
        <v>92</v>
      </c>
      <c r="G50" s="179">
        <v>87.116365337900788</v>
      </c>
      <c r="H50" s="184">
        <v>0.10477251116379625</v>
      </c>
      <c r="I50" s="181">
        <v>-2.9913207943352129E-5</v>
      </c>
      <c r="J50" s="181"/>
      <c r="K50" s="181"/>
      <c r="L50" s="182"/>
      <c r="M50" s="183"/>
      <c r="N50" s="198"/>
      <c r="O50" s="7">
        <v>1750</v>
      </c>
    </row>
    <row r="51" spans="1:15" ht="15.75" thickBot="1" x14ac:dyDescent="0.3">
      <c r="A51" s="227"/>
      <c r="B51" s="228"/>
      <c r="C51" s="31"/>
      <c r="D51" s="13"/>
      <c r="E51" s="14"/>
      <c r="F51" s="120" t="s">
        <v>93</v>
      </c>
      <c r="G51" s="147">
        <v>178.86</v>
      </c>
      <c r="H51" s="148"/>
      <c r="I51" s="149"/>
      <c r="J51" s="150"/>
      <c r="K51" s="150"/>
      <c r="L51" s="151"/>
      <c r="M51" s="152"/>
      <c r="N51" s="198"/>
      <c r="O51" s="30"/>
    </row>
    <row r="52" spans="1:15" x14ac:dyDescent="0.25">
      <c r="A52" s="223" t="s">
        <v>99</v>
      </c>
      <c r="B52" s="224" t="s">
        <v>14</v>
      </c>
      <c r="C52" s="112">
        <f>C50</f>
        <v>50</v>
      </c>
      <c r="D52" s="4">
        <f>ROUND(IF(C52&lt;O52,G52+H52*C52+I52*C52^2+J52*C52^3+K52*C52^4+L52*C52^5+M52*C52^6,G53),3)</f>
        <v>210.333</v>
      </c>
      <c r="E52" s="5">
        <f>ROUND(C52/D52,3)</f>
        <v>0.23799999999999999</v>
      </c>
      <c r="F52" s="113" t="s">
        <v>92</v>
      </c>
      <c r="G52" s="186">
        <v>198.61521365139012</v>
      </c>
      <c r="H52" s="185">
        <v>0.23775300610246022</v>
      </c>
      <c r="I52" s="188">
        <v>-6.787997187145299E-5</v>
      </c>
      <c r="J52" s="128"/>
      <c r="K52" s="128"/>
      <c r="L52" s="129"/>
      <c r="M52" s="130"/>
      <c r="N52" s="198"/>
      <c r="O52" s="7">
        <v>1750</v>
      </c>
    </row>
    <row r="53" spans="1:15" ht="15.75" thickBot="1" x14ac:dyDescent="0.3">
      <c r="A53" s="227"/>
      <c r="B53" s="228"/>
      <c r="C53" s="31"/>
      <c r="D53" s="13"/>
      <c r="E53" s="14"/>
      <c r="F53" s="120" t="s">
        <v>93</v>
      </c>
      <c r="G53" s="131">
        <v>406.8</v>
      </c>
      <c r="H53" s="132"/>
      <c r="I53" s="133"/>
      <c r="J53" s="134"/>
      <c r="K53" s="134"/>
      <c r="L53" s="135"/>
      <c r="M53" s="136"/>
      <c r="N53" s="198"/>
      <c r="O53" s="30"/>
    </row>
    <row r="54" spans="1:15" ht="15.75" thickBot="1" x14ac:dyDescent="0.3">
      <c r="A54" s="63" t="s">
        <v>100</v>
      </c>
      <c r="B54" s="66"/>
      <c r="C54" s="65">
        <f>12/D50*G54</f>
        <v>5933.0299089726923</v>
      </c>
      <c r="D54" s="65">
        <f>12/D52*I54</f>
        <v>1516.8518492105377</v>
      </c>
      <c r="E54" s="16" t="s">
        <v>16</v>
      </c>
      <c r="F54" s="17" t="s">
        <v>17</v>
      </c>
      <c r="G54" s="111">
        <v>45625</v>
      </c>
      <c r="H54" s="17" t="s">
        <v>18</v>
      </c>
      <c r="I54" s="19">
        <v>26587</v>
      </c>
      <c r="J54" s="21"/>
      <c r="K54" s="21"/>
      <c r="L54" s="21"/>
      <c r="M54" s="22"/>
      <c r="N54" s="198"/>
      <c r="O54" s="46"/>
    </row>
    <row r="55" spans="1:15" x14ac:dyDescent="0.25">
      <c r="A55" s="209"/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</row>
    <row r="56" spans="1:15" x14ac:dyDescent="0.25">
      <c r="A56" s="209"/>
      <c r="B56" s="209"/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209"/>
      <c r="N56" s="209"/>
      <c r="O56" s="209"/>
    </row>
    <row r="57" spans="1:15" ht="21" customHeight="1" thickBot="1" x14ac:dyDescent="0.3">
      <c r="A57" s="202" t="s">
        <v>45</v>
      </c>
      <c r="B57" s="198"/>
      <c r="C57" s="198"/>
      <c r="D57" s="198"/>
      <c r="E57" s="199"/>
      <c r="F57" s="200"/>
      <c r="G57" s="199"/>
      <c r="H57" s="199"/>
      <c r="I57" s="199"/>
      <c r="J57" s="199"/>
      <c r="K57" s="199"/>
      <c r="L57" s="199"/>
      <c r="M57" s="198"/>
      <c r="N57" s="198"/>
      <c r="O57" s="208"/>
    </row>
    <row r="58" spans="1:15" ht="15.75" thickBot="1" x14ac:dyDescent="0.3">
      <c r="A58" s="223" t="s">
        <v>22</v>
      </c>
      <c r="B58" s="235" t="s">
        <v>14</v>
      </c>
      <c r="C58" s="191">
        <v>30</v>
      </c>
      <c r="D58" s="4">
        <f>ROUND(IF(C58&lt;O58,G58+H58*C58+I58*C58^2+J58*C58^3+K58*C58^4+L58*C58^5+M58*C58^6,G59),2)</f>
        <v>27.84</v>
      </c>
      <c r="E58" s="5">
        <f>ROUND(C58/D58,3)</f>
        <v>1.0780000000000001</v>
      </c>
      <c r="F58" s="196" t="s">
        <v>104</v>
      </c>
      <c r="G58" s="192">
        <v>17.98856</v>
      </c>
      <c r="H58" s="193">
        <v>0.38882548</v>
      </c>
      <c r="I58" s="194">
        <v>-2.1529163E-3</v>
      </c>
      <c r="J58" s="194">
        <v>4.6763637999999998E-6</v>
      </c>
      <c r="K58" s="154"/>
      <c r="L58" s="154"/>
      <c r="M58" s="195"/>
      <c r="N58" s="198"/>
      <c r="O58" s="52">
        <v>251</v>
      </c>
    </row>
    <row r="59" spans="1:15" ht="15.75" thickBot="1" x14ac:dyDescent="0.3">
      <c r="A59" s="227"/>
      <c r="B59" s="228"/>
      <c r="C59" s="31"/>
      <c r="D59" s="13"/>
      <c r="E59" s="14"/>
      <c r="F59" s="115" t="s">
        <v>103</v>
      </c>
      <c r="G59" s="131">
        <v>53.71</v>
      </c>
      <c r="H59" s="132"/>
      <c r="I59" s="133"/>
      <c r="J59" s="134"/>
      <c r="K59" s="134"/>
      <c r="L59" s="135"/>
      <c r="M59" s="190"/>
      <c r="N59" s="198"/>
      <c r="O59" s="30"/>
    </row>
    <row r="60" spans="1:15" ht="15.75" thickBot="1" x14ac:dyDescent="0.3">
      <c r="A60" s="63" t="s">
        <v>28</v>
      </c>
      <c r="B60" s="64"/>
      <c r="C60" s="64"/>
      <c r="D60" s="65">
        <f>12/D58*I60</f>
        <v>11054.310344827587</v>
      </c>
      <c r="E60" s="16" t="s">
        <v>16</v>
      </c>
      <c r="F60" s="17"/>
      <c r="G60" s="18"/>
      <c r="H60" s="17" t="s">
        <v>18</v>
      </c>
      <c r="I60" s="19">
        <v>25646</v>
      </c>
      <c r="J60" s="20"/>
      <c r="K60" s="21"/>
      <c r="L60" s="21"/>
      <c r="M60" s="22"/>
      <c r="N60" s="198"/>
      <c r="O60" s="53"/>
    </row>
    <row r="61" spans="1:15" x14ac:dyDescent="0.25">
      <c r="A61" s="209"/>
      <c r="B61" s="204"/>
      <c r="C61" s="210"/>
      <c r="D61" s="204"/>
      <c r="E61" s="211"/>
      <c r="F61" s="212"/>
      <c r="G61" s="213"/>
      <c r="H61" s="212"/>
      <c r="I61" s="214"/>
      <c r="J61" s="215"/>
      <c r="K61" s="211"/>
      <c r="L61" s="211"/>
      <c r="M61" s="204"/>
      <c r="N61" s="198"/>
      <c r="O61" s="216"/>
    </row>
    <row r="62" spans="1:15" ht="27.75" customHeight="1" thickBot="1" x14ac:dyDescent="0.3">
      <c r="A62" s="217" t="s">
        <v>75</v>
      </c>
      <c r="B62" s="203"/>
      <c r="C62" s="204"/>
      <c r="D62" s="205"/>
      <c r="E62" s="206"/>
      <c r="F62" s="218"/>
      <c r="G62" s="207"/>
      <c r="H62" s="207"/>
      <c r="I62" s="207"/>
      <c r="J62" s="207"/>
      <c r="K62" s="207"/>
      <c r="L62" s="207"/>
      <c r="M62" s="207"/>
      <c r="N62" s="204"/>
      <c r="O62" s="208"/>
    </row>
    <row r="63" spans="1:15" ht="15.75" thickBot="1" x14ac:dyDescent="0.3">
      <c r="A63" s="229" t="s">
        <v>71</v>
      </c>
      <c r="B63" s="224" t="s">
        <v>14</v>
      </c>
      <c r="C63" s="24">
        <v>220</v>
      </c>
      <c r="D63" s="4">
        <f>ROUND(IF(C63&lt;O63,G63,IF(C63&lt;O64,G64+H64*C63+I64*C63^2+J64*C63^3+K64*C63^4+L64*C63^5+M64*C63^6,IF(C63&lt;O65,G65+H65*C63+I65*C63^2+J65*C63^3+K65*C63^4+L65*C63^5+M65*C63^6,G66))),2)</f>
        <v>61.56</v>
      </c>
      <c r="E63" s="5">
        <f>ROUND(C63/D63,3)</f>
        <v>3.5739999999999998</v>
      </c>
      <c r="F63" s="110" t="s">
        <v>72</v>
      </c>
      <c r="G63" s="122">
        <v>36.06</v>
      </c>
      <c r="H63" s="153"/>
      <c r="I63" s="123"/>
      <c r="J63" s="154"/>
      <c r="K63" s="154"/>
      <c r="L63" s="154"/>
      <c r="M63" s="125"/>
      <c r="N63" s="198"/>
      <c r="O63" s="108">
        <v>10</v>
      </c>
    </row>
    <row r="64" spans="1:15" x14ac:dyDescent="0.25">
      <c r="A64" s="230"/>
      <c r="B64" s="231"/>
      <c r="C64" s="27"/>
      <c r="D64" s="11"/>
      <c r="E64" s="9"/>
      <c r="F64" s="114" t="s">
        <v>83</v>
      </c>
      <c r="G64" s="173">
        <v>34.059041312985755</v>
      </c>
      <c r="H64" s="174">
        <v>0.20498185026031024</v>
      </c>
      <c r="I64" s="164">
        <v>-4.8916984416980114E-4</v>
      </c>
      <c r="J64" s="164">
        <v>6.3712008552783972E-7</v>
      </c>
      <c r="K64" s="164">
        <v>-3.0076929253506366E-10</v>
      </c>
      <c r="L64" s="155"/>
      <c r="M64" s="156"/>
      <c r="N64" s="198"/>
      <c r="O64" s="108">
        <v>387</v>
      </c>
    </row>
    <row r="65" spans="1:15" x14ac:dyDescent="0.25">
      <c r="A65" s="225"/>
      <c r="B65" s="231"/>
      <c r="C65" s="27"/>
      <c r="D65" s="11"/>
      <c r="E65" s="9"/>
      <c r="F65" s="117" t="s">
        <v>84</v>
      </c>
      <c r="G65" s="173">
        <v>43.055728120263666</v>
      </c>
      <c r="H65" s="174">
        <v>0.11398644926975976</v>
      </c>
      <c r="I65" s="164">
        <v>-1.4730105782945202E-4</v>
      </c>
      <c r="J65" s="164">
        <v>9.8623166281189278E-8</v>
      </c>
      <c r="K65" s="164">
        <v>-2.5210163347944096E-11</v>
      </c>
      <c r="L65" s="155"/>
      <c r="M65" s="156"/>
      <c r="N65" s="198"/>
      <c r="O65" s="108">
        <v>1400</v>
      </c>
    </row>
    <row r="66" spans="1:15" ht="15.75" thickBot="1" x14ac:dyDescent="0.3">
      <c r="A66" s="227"/>
      <c r="B66" s="232"/>
      <c r="C66" s="31"/>
      <c r="D66" s="28"/>
      <c r="E66" s="10"/>
      <c r="F66" s="118" t="s">
        <v>87</v>
      </c>
      <c r="G66" s="157">
        <v>87.7</v>
      </c>
      <c r="H66" s="158"/>
      <c r="I66" s="158"/>
      <c r="J66" s="159"/>
      <c r="K66" s="159"/>
      <c r="L66" s="159"/>
      <c r="M66" s="160"/>
      <c r="N66" s="198"/>
      <c r="O66" s="108"/>
    </row>
    <row r="67" spans="1:15" ht="15.75" thickBot="1" x14ac:dyDescent="0.3">
      <c r="A67" s="63" t="s">
        <v>28</v>
      </c>
      <c r="B67" s="64"/>
      <c r="C67" s="65"/>
      <c r="D67" s="65">
        <f>12/D63*I67</f>
        <v>4999.220272904483</v>
      </c>
      <c r="E67" s="16" t="s">
        <v>16</v>
      </c>
      <c r="F67" s="17"/>
      <c r="G67" s="18"/>
      <c r="H67" s="17" t="s">
        <v>18</v>
      </c>
      <c r="I67" s="19">
        <v>25646</v>
      </c>
      <c r="J67" s="29"/>
      <c r="K67" s="21"/>
      <c r="L67" s="21"/>
      <c r="M67" s="22"/>
      <c r="N67" s="198"/>
      <c r="O67" s="30"/>
    </row>
    <row r="68" spans="1:15" x14ac:dyDescent="0.25">
      <c r="A68" s="209"/>
      <c r="B68" s="209"/>
      <c r="C68" s="209"/>
      <c r="D68" s="209"/>
      <c r="E68" s="209"/>
      <c r="F68" s="209"/>
      <c r="G68" s="209"/>
      <c r="H68" s="209"/>
      <c r="I68" s="209"/>
      <c r="J68" s="209"/>
      <c r="K68" s="209"/>
      <c r="L68" s="209"/>
      <c r="M68" s="209"/>
      <c r="N68" s="209"/>
      <c r="O68" s="209"/>
    </row>
    <row r="69" spans="1:15" ht="16.5" thickBot="1" x14ac:dyDescent="0.3">
      <c r="A69" s="217" t="s">
        <v>74</v>
      </c>
      <c r="B69" s="203"/>
      <c r="C69" s="204"/>
      <c r="D69" s="205"/>
      <c r="E69" s="206"/>
      <c r="F69" s="218"/>
      <c r="G69" s="207"/>
      <c r="H69" s="207"/>
      <c r="I69" s="207"/>
      <c r="J69" s="207"/>
      <c r="K69" s="207"/>
      <c r="L69" s="207"/>
      <c r="M69" s="207"/>
      <c r="N69" s="204"/>
      <c r="O69" s="208"/>
    </row>
    <row r="70" spans="1:15" ht="15.75" thickBot="1" x14ac:dyDescent="0.3">
      <c r="A70" s="229" t="s">
        <v>73</v>
      </c>
      <c r="B70" s="224" t="s">
        <v>14</v>
      </c>
      <c r="C70" s="24">
        <v>550</v>
      </c>
      <c r="D70" s="4">
        <f>ROUND(IF(C70&lt;O70,G70,IF(C70&lt;O71,G71+H71*C70+I71*C70^2+J71*C70^3+K71*C70^4+L71*C70^5+M71*C70^6,IF(C70&lt;O72,G72+H72*C70+I72*C70^2+J72*C70^3+K72*C70^4+L72*C70^5+M72*C70^6,G73))),2)</f>
        <v>82.22</v>
      </c>
      <c r="E70" s="5">
        <f>ROUND(C70/D70,3)</f>
        <v>6.6890000000000001</v>
      </c>
      <c r="F70" s="110" t="s">
        <v>72</v>
      </c>
      <c r="G70" s="122">
        <v>39.380000000000003</v>
      </c>
      <c r="H70" s="153"/>
      <c r="I70" s="123"/>
      <c r="J70" s="154"/>
      <c r="K70" s="154"/>
      <c r="L70" s="154"/>
      <c r="M70" s="125"/>
      <c r="N70" s="198"/>
      <c r="O70" s="108">
        <v>10</v>
      </c>
    </row>
    <row r="71" spans="1:15" x14ac:dyDescent="0.25">
      <c r="A71" s="230"/>
      <c r="B71" s="231"/>
      <c r="C71" s="27"/>
      <c r="D71" s="11"/>
      <c r="E71" s="9"/>
      <c r="F71" s="114" t="s">
        <v>83</v>
      </c>
      <c r="G71" s="173">
        <v>37.192473113780451</v>
      </c>
      <c r="H71" s="174">
        <v>0.2238401804842588</v>
      </c>
      <c r="I71" s="164">
        <v>-5.3417346983342291E-4</v>
      </c>
      <c r="J71" s="164">
        <v>6.9573513339640097E-7</v>
      </c>
      <c r="K71" s="164">
        <v>-3.2844006744828952E-10</v>
      </c>
      <c r="L71" s="155"/>
      <c r="M71" s="156"/>
      <c r="N71" s="198"/>
      <c r="O71" s="108">
        <v>387</v>
      </c>
    </row>
    <row r="72" spans="1:15" x14ac:dyDescent="0.25">
      <c r="A72" s="225"/>
      <c r="B72" s="231"/>
      <c r="C72" s="27"/>
      <c r="D72" s="11"/>
      <c r="E72" s="9"/>
      <c r="F72" s="117" t="s">
        <v>85</v>
      </c>
      <c r="G72" s="173">
        <v>47.016855107327927</v>
      </c>
      <c r="H72" s="174">
        <v>0.12447320260257767</v>
      </c>
      <c r="I72" s="164">
        <v>-1.6085275514976163E-4</v>
      </c>
      <c r="J72" s="164">
        <v>1.076964975790587E-7</v>
      </c>
      <c r="K72" s="164">
        <v>-2.7529498375954954E-11</v>
      </c>
      <c r="L72" s="155"/>
      <c r="M72" s="156"/>
      <c r="N72" s="198"/>
      <c r="O72" s="108">
        <v>1471</v>
      </c>
    </row>
    <row r="73" spans="1:15" ht="15.75" thickBot="1" x14ac:dyDescent="0.3">
      <c r="A73" s="227"/>
      <c r="B73" s="232"/>
      <c r="C73" s="31"/>
      <c r="D73" s="28"/>
      <c r="E73" s="10"/>
      <c r="F73" s="118" t="s">
        <v>86</v>
      </c>
      <c r="G73" s="157">
        <v>95.96</v>
      </c>
      <c r="H73" s="158"/>
      <c r="I73" s="158"/>
      <c r="J73" s="159"/>
      <c r="K73" s="159"/>
      <c r="L73" s="159"/>
      <c r="M73" s="160"/>
      <c r="N73" s="198"/>
      <c r="O73" s="108"/>
    </row>
    <row r="74" spans="1:15" ht="15.75" thickBot="1" x14ac:dyDescent="0.3">
      <c r="A74" s="63" t="s">
        <v>28</v>
      </c>
      <c r="B74" s="64"/>
      <c r="C74" s="65"/>
      <c r="D74" s="65">
        <f>12/D70*I74</f>
        <v>3743.0308927268302</v>
      </c>
      <c r="E74" s="16" t="s">
        <v>16</v>
      </c>
      <c r="F74" s="17"/>
      <c r="G74" s="18"/>
      <c r="H74" s="17" t="s">
        <v>18</v>
      </c>
      <c r="I74" s="19">
        <v>25646</v>
      </c>
      <c r="J74" s="29"/>
      <c r="K74" s="21"/>
      <c r="L74" s="21"/>
      <c r="M74" s="22"/>
      <c r="N74" s="198"/>
      <c r="O74" s="30"/>
    </row>
    <row r="75" spans="1:15" x14ac:dyDescent="0.25">
      <c r="A75" s="209"/>
      <c r="B75" s="209"/>
      <c r="C75" s="209"/>
      <c r="D75" s="209"/>
      <c r="E75" s="209"/>
      <c r="F75" s="209"/>
      <c r="G75" s="209"/>
      <c r="H75" s="209"/>
      <c r="I75" s="209"/>
      <c r="J75" s="209"/>
      <c r="K75" s="209"/>
      <c r="L75" s="209"/>
      <c r="M75" s="209"/>
      <c r="N75" s="209"/>
      <c r="O75" s="209"/>
    </row>
    <row r="76" spans="1:15" x14ac:dyDescent="0.25">
      <c r="A76" s="209"/>
      <c r="B76" s="209"/>
      <c r="C76" s="209"/>
      <c r="D76" s="209"/>
      <c r="E76" s="209"/>
      <c r="F76" s="209"/>
      <c r="G76" s="209"/>
      <c r="H76" s="209"/>
      <c r="I76" s="209"/>
      <c r="J76" s="209"/>
      <c r="K76" s="209"/>
      <c r="L76" s="209"/>
      <c r="M76" s="209"/>
      <c r="N76" s="209"/>
      <c r="O76" s="209"/>
    </row>
    <row r="77" spans="1:15" x14ac:dyDescent="0.25">
      <c r="N77" s="209"/>
    </row>
    <row r="78" spans="1:15" x14ac:dyDescent="0.25">
      <c r="N78" s="209"/>
    </row>
    <row r="79" spans="1:15" x14ac:dyDescent="0.25">
      <c r="N79" s="209"/>
    </row>
    <row r="80" spans="1:15" x14ac:dyDescent="0.25">
      <c r="N80" s="209"/>
    </row>
    <row r="81" spans="14:14" x14ac:dyDescent="0.25">
      <c r="N81" s="209"/>
    </row>
    <row r="82" spans="14:14" x14ac:dyDescent="0.25">
      <c r="N82" s="209"/>
    </row>
    <row r="83" spans="14:14" x14ac:dyDescent="0.25">
      <c r="N83" s="209"/>
    </row>
    <row r="84" spans="14:14" x14ac:dyDescent="0.25">
      <c r="N84" s="209"/>
    </row>
    <row r="85" spans="14:14" x14ac:dyDescent="0.25">
      <c r="N85" s="209"/>
    </row>
    <row r="86" spans="14:14" x14ac:dyDescent="0.25">
      <c r="N86" s="209"/>
    </row>
    <row r="87" spans="14:14" x14ac:dyDescent="0.25">
      <c r="N87" s="209"/>
    </row>
    <row r="88" spans="14:14" x14ac:dyDescent="0.25">
      <c r="N88" s="209"/>
    </row>
    <row r="89" spans="14:14" x14ac:dyDescent="0.25">
      <c r="N89" s="209"/>
    </row>
    <row r="90" spans="14:14" x14ac:dyDescent="0.25">
      <c r="N90" s="209"/>
    </row>
    <row r="91" spans="14:14" x14ac:dyDescent="0.25">
      <c r="N91" s="209"/>
    </row>
  </sheetData>
  <sheetProtection sheet="1" objects="1" scenarios="1"/>
  <pageMargins left="0.7" right="0.7" top="0.52" bottom="0.5500000000000000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9"/>
  <sheetViews>
    <sheetView zoomScale="110" zoomScaleNormal="110" workbookViewId="0">
      <selection activeCell="M21" sqref="M21"/>
    </sheetView>
  </sheetViews>
  <sheetFormatPr defaultRowHeight="15" x14ac:dyDescent="0.25"/>
  <cols>
    <col min="1" max="1" width="19" customWidth="1"/>
    <col min="2" max="2" width="7.5703125" customWidth="1"/>
    <col min="3" max="3" width="9.5703125" customWidth="1"/>
    <col min="5" max="5" width="11.140625" customWidth="1"/>
    <col min="7" max="7" width="10.7109375" customWidth="1"/>
    <col min="9" max="9" width="12.7109375" customWidth="1"/>
    <col min="10" max="10" width="11.5703125" customWidth="1"/>
    <col min="11" max="11" width="13.5703125" customWidth="1"/>
    <col min="14" max="14" width="3.7109375" customWidth="1"/>
    <col min="24" max="24" width="9" customWidth="1"/>
  </cols>
  <sheetData>
    <row r="1" spans="1:7" ht="18.75" x14ac:dyDescent="0.3">
      <c r="A1" s="94" t="s">
        <v>46</v>
      </c>
    </row>
    <row r="2" spans="1:7" ht="18.75" x14ac:dyDescent="0.3">
      <c r="A2" s="94"/>
    </row>
    <row r="3" spans="1:7" ht="15.75" thickBot="1" x14ac:dyDescent="0.3">
      <c r="A3" s="96" t="s">
        <v>47</v>
      </c>
      <c r="G3" t="s">
        <v>49</v>
      </c>
    </row>
    <row r="4" spans="1:7" ht="15.75" thickBot="1" x14ac:dyDescent="0.3">
      <c r="A4" s="96" t="s">
        <v>48</v>
      </c>
      <c r="C4" s="82" t="s">
        <v>35</v>
      </c>
      <c r="D4" s="83" t="s">
        <v>14</v>
      </c>
      <c r="E4" s="84" t="s">
        <v>37</v>
      </c>
      <c r="F4" s="81" t="s">
        <v>38</v>
      </c>
      <c r="G4" t="s">
        <v>50</v>
      </c>
    </row>
    <row r="5" spans="1:7" x14ac:dyDescent="0.25">
      <c r="A5" s="95" t="s">
        <v>30</v>
      </c>
      <c r="C5" s="88"/>
      <c r="D5" s="85" t="str">
        <f>IF(C5=0,"",D21)</f>
        <v/>
      </c>
      <c r="E5" s="175" t="str">
        <f>IF(D5&lt;&gt;"",ROUND(C5/D5,3),"")</f>
        <v/>
      </c>
      <c r="F5">
        <v>25646</v>
      </c>
      <c r="G5" s="166">
        <f>IF(D5&lt;&gt;"",ROUND(E5*0.012*F5,3),0)</f>
        <v>0</v>
      </c>
    </row>
    <row r="6" spans="1:7" x14ac:dyDescent="0.25">
      <c r="A6" s="95" t="s">
        <v>31</v>
      </c>
      <c r="C6" s="89"/>
      <c r="D6" s="85" t="str">
        <f>IF(C6=0,"",D$25)</f>
        <v/>
      </c>
      <c r="E6" s="176" t="str">
        <f>IF(D6&lt;&gt;"",ROUND(C6/D6,3),"")</f>
        <v/>
      </c>
      <c r="F6">
        <v>25646</v>
      </c>
      <c r="G6" s="167">
        <f t="shared" ref="G6:G14" si="0">IF(D6&lt;&gt;"",ROUND(E6*0.012*F6,3),0)</f>
        <v>0</v>
      </c>
    </row>
    <row r="7" spans="1:7" x14ac:dyDescent="0.25">
      <c r="A7" s="95" t="s">
        <v>32</v>
      </c>
      <c r="C7" s="89"/>
      <c r="D7" s="85" t="str">
        <f>IF(C7=0,"",D$31)</f>
        <v/>
      </c>
      <c r="E7" s="176" t="str">
        <f t="shared" ref="E7:E14" si="1">IF(D7&lt;&gt;"",ROUND(C7/D7,3),"")</f>
        <v/>
      </c>
      <c r="F7">
        <v>25646</v>
      </c>
      <c r="G7" s="167">
        <f t="shared" si="0"/>
        <v>0</v>
      </c>
    </row>
    <row r="8" spans="1:7" x14ac:dyDescent="0.25">
      <c r="A8" s="95" t="s">
        <v>39</v>
      </c>
      <c r="C8" s="89"/>
      <c r="D8" s="85" t="str">
        <f>IF(C8+C9=0,"",D38)</f>
        <v/>
      </c>
      <c r="E8" s="176" t="str">
        <f t="shared" si="1"/>
        <v/>
      </c>
      <c r="F8">
        <v>26003</v>
      </c>
      <c r="G8" s="167">
        <f t="shared" si="0"/>
        <v>0</v>
      </c>
    </row>
    <row r="9" spans="1:7" x14ac:dyDescent="0.25">
      <c r="A9" s="95" t="s">
        <v>40</v>
      </c>
      <c r="C9" s="89"/>
      <c r="D9" s="85" t="str">
        <f>IF(C8+C9=0,"",D38)</f>
        <v/>
      </c>
      <c r="E9" s="176" t="str">
        <f t="shared" si="1"/>
        <v/>
      </c>
      <c r="F9">
        <v>26003</v>
      </c>
      <c r="G9" s="167">
        <f t="shared" si="0"/>
        <v>0</v>
      </c>
    </row>
    <row r="10" spans="1:7" x14ac:dyDescent="0.25">
      <c r="A10" s="95" t="s">
        <v>41</v>
      </c>
      <c r="C10" s="89"/>
      <c r="D10" s="85" t="str">
        <f>IF(C10+C11=0,"",D44)</f>
        <v/>
      </c>
      <c r="E10" s="176" t="str">
        <f t="shared" si="1"/>
        <v/>
      </c>
      <c r="F10">
        <v>26003</v>
      </c>
      <c r="G10" s="167">
        <f t="shared" si="0"/>
        <v>0</v>
      </c>
    </row>
    <row r="11" spans="1:7" x14ac:dyDescent="0.25">
      <c r="A11" s="95" t="s">
        <v>42</v>
      </c>
      <c r="C11" s="89"/>
      <c r="D11" s="85" t="str">
        <f>IF(C10+C11=0,"",D44)</f>
        <v/>
      </c>
      <c r="E11" s="176" t="str">
        <f t="shared" si="1"/>
        <v/>
      </c>
      <c r="F11">
        <v>26003</v>
      </c>
      <c r="G11" s="167">
        <f t="shared" si="0"/>
        <v>0</v>
      </c>
    </row>
    <row r="12" spans="1:7" x14ac:dyDescent="0.25">
      <c r="A12" s="95" t="s">
        <v>44</v>
      </c>
      <c r="C12" s="89"/>
      <c r="D12" s="85" t="str">
        <f>IF(C12=0,"",D$21/0.67)</f>
        <v/>
      </c>
      <c r="E12" s="176" t="str">
        <f t="shared" si="1"/>
        <v/>
      </c>
      <c r="F12">
        <v>25646</v>
      </c>
      <c r="G12" s="167">
        <f t="shared" si="0"/>
        <v>0</v>
      </c>
    </row>
    <row r="13" spans="1:7" x14ac:dyDescent="0.25">
      <c r="A13" s="95" t="s">
        <v>79</v>
      </c>
      <c r="C13" s="89"/>
      <c r="D13" s="85" t="str">
        <f>IF(C13=0,"",D$25/0.7)</f>
        <v/>
      </c>
      <c r="E13" s="176" t="str">
        <f t="shared" si="1"/>
        <v/>
      </c>
      <c r="F13">
        <v>25646</v>
      </c>
      <c r="G13" s="167">
        <f t="shared" ref="G13" si="2">IF(D13&lt;&gt;"",ROUND(E13*0.012*F13,3),0)</f>
        <v>0</v>
      </c>
    </row>
    <row r="14" spans="1:7" ht="15.75" thickBot="1" x14ac:dyDescent="0.3">
      <c r="A14" s="95" t="s">
        <v>80</v>
      </c>
      <c r="C14" s="90"/>
      <c r="D14" s="85" t="str">
        <f>IF(C14=0,"",D$31/0.7)</f>
        <v/>
      </c>
      <c r="E14" s="177" t="str">
        <f t="shared" si="1"/>
        <v/>
      </c>
      <c r="F14">
        <v>25646</v>
      </c>
      <c r="G14" s="168">
        <f t="shared" si="0"/>
        <v>0</v>
      </c>
    </row>
    <row r="15" spans="1:7" x14ac:dyDescent="0.25">
      <c r="A15" s="56" t="s">
        <v>43</v>
      </c>
      <c r="B15" s="56"/>
      <c r="C15" s="56"/>
      <c r="D15" s="97"/>
      <c r="E15" s="178">
        <f>SUM(E5:E14)</f>
        <v>0</v>
      </c>
      <c r="F15" s="56"/>
      <c r="G15" s="169">
        <f>SUM(G5:G14)</f>
        <v>0</v>
      </c>
    </row>
    <row r="16" spans="1:7" x14ac:dyDescent="0.25">
      <c r="A16" s="91" t="s">
        <v>51</v>
      </c>
    </row>
    <row r="17" spans="1:16" ht="15.75" thickBot="1" x14ac:dyDescent="0.3">
      <c r="A17" s="209"/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</row>
    <row r="18" spans="1:16" ht="25.5" x14ac:dyDescent="0.25">
      <c r="A18" s="60" t="s">
        <v>26</v>
      </c>
      <c r="B18" s="61" t="s">
        <v>29</v>
      </c>
      <c r="C18" s="62" t="s">
        <v>1</v>
      </c>
      <c r="D18" s="70" t="s">
        <v>36</v>
      </c>
      <c r="E18" s="71" t="s">
        <v>3</v>
      </c>
      <c r="F18" s="69" t="s">
        <v>4</v>
      </c>
      <c r="G18" s="72" t="s">
        <v>5</v>
      </c>
      <c r="H18" s="73" t="s">
        <v>6</v>
      </c>
      <c r="I18" s="73" t="s">
        <v>7</v>
      </c>
      <c r="J18" s="73" t="s">
        <v>8</v>
      </c>
      <c r="K18" s="73" t="s">
        <v>9</v>
      </c>
      <c r="L18" s="73" t="s">
        <v>10</v>
      </c>
      <c r="M18" s="73" t="s">
        <v>11</v>
      </c>
      <c r="N18" s="222"/>
      <c r="O18" s="2" t="s">
        <v>12</v>
      </c>
    </row>
    <row r="19" spans="1:16" x14ac:dyDescent="0.25">
      <c r="A19" s="209"/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</row>
    <row r="20" spans="1:16" ht="16.5" thickBot="1" x14ac:dyDescent="0.3">
      <c r="A20" s="202" t="s">
        <v>21</v>
      </c>
      <c r="B20" s="198"/>
      <c r="C20" s="198"/>
      <c r="D20" s="198"/>
      <c r="E20" s="199"/>
      <c r="F20" s="200"/>
      <c r="G20" s="199"/>
      <c r="H20" s="199"/>
      <c r="I20" s="199"/>
      <c r="J20" s="199"/>
      <c r="K20" s="199"/>
      <c r="L20" s="199"/>
      <c r="M20" s="198"/>
      <c r="N20" s="209"/>
      <c r="O20" s="208"/>
    </row>
    <row r="21" spans="1:16" ht="15.75" thickBot="1" x14ac:dyDescent="0.3">
      <c r="A21" s="74" t="s">
        <v>34</v>
      </c>
      <c r="B21" s="75" t="s">
        <v>14</v>
      </c>
      <c r="C21" s="93">
        <f>C5+C8+C10+C12*0.67</f>
        <v>0</v>
      </c>
      <c r="D21" s="87">
        <f>ROUND(G21+H21*C21+I21*C21^2+J21*C21^3+K21*C21^4+L21*C21^5,2)</f>
        <v>17.989999999999998</v>
      </c>
      <c r="E21" s="86"/>
      <c r="F21" s="23"/>
      <c r="G21" s="76">
        <v>17.98856</v>
      </c>
      <c r="H21" s="77">
        <v>0.38882548</v>
      </c>
      <c r="I21" s="78">
        <v>-2.1529163E-3</v>
      </c>
      <c r="J21" s="98">
        <v>4.6763637999999998E-6</v>
      </c>
      <c r="K21" s="79"/>
      <c r="L21" s="79"/>
      <c r="M21" s="80"/>
      <c r="N21" s="209"/>
      <c r="O21" s="52"/>
    </row>
    <row r="22" spans="1:16" ht="15.75" thickBot="1" x14ac:dyDescent="0.3">
      <c r="A22" s="63" t="s">
        <v>28</v>
      </c>
      <c r="B22" s="64"/>
      <c r="C22" s="64"/>
      <c r="D22" s="65">
        <f>12/D21*I22</f>
        <v>17106.837131739856</v>
      </c>
      <c r="E22" s="16" t="s">
        <v>16</v>
      </c>
      <c r="F22" s="17"/>
      <c r="G22" s="18"/>
      <c r="H22" s="17" t="s">
        <v>18</v>
      </c>
      <c r="I22" s="19">
        <v>25646</v>
      </c>
      <c r="J22" s="20"/>
      <c r="K22" s="21"/>
      <c r="L22" s="21"/>
      <c r="M22" s="22"/>
      <c r="N22" s="209"/>
      <c r="O22" s="53"/>
    </row>
    <row r="23" spans="1:16" x14ac:dyDescent="0.25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"/>
    </row>
    <row r="24" spans="1:16" ht="16.5" thickBot="1" x14ac:dyDescent="0.3">
      <c r="A24" s="217" t="s">
        <v>77</v>
      </c>
      <c r="B24" s="203"/>
      <c r="C24" s="204"/>
      <c r="D24" s="205"/>
      <c r="E24" s="206"/>
      <c r="F24" s="218"/>
      <c r="G24" s="207"/>
      <c r="H24" s="207"/>
      <c r="I24" s="207"/>
      <c r="J24" s="207"/>
      <c r="K24" s="207"/>
      <c r="L24" s="207"/>
      <c r="M24" s="207"/>
      <c r="N24" s="209"/>
      <c r="O24" s="209"/>
    </row>
    <row r="25" spans="1:16" x14ac:dyDescent="0.25">
      <c r="A25" s="229" t="s">
        <v>76</v>
      </c>
      <c r="B25" s="235" t="s">
        <v>14</v>
      </c>
      <c r="C25" s="92">
        <f>C5+C6+C7+C8+C9+C10+C11+0.67*C12+0.7*C13+0.7*C14</f>
        <v>0</v>
      </c>
      <c r="D25" s="4">
        <f>ROUND(IF(C25&lt;O25,G25,IF(C25&lt;O26,G26+H26*C25+I26*C25^2+J26*C25^3+K26*C25^4+L26*C25^5+M26*C25^6,IF(C25&lt;O27,G27+H27*C25+I27*C25^2+J27*C25^3+K27*C25^4+L27*C25^5+M27*C25^6,G28))),2)</f>
        <v>36.06</v>
      </c>
      <c r="E25" s="5">
        <f>ROUND(C25/D25,2)</f>
        <v>0</v>
      </c>
      <c r="F25" s="110" t="s">
        <v>72</v>
      </c>
      <c r="G25" s="122">
        <v>36.06</v>
      </c>
      <c r="H25" s="153"/>
      <c r="I25" s="123"/>
      <c r="J25" s="154"/>
      <c r="K25" s="154"/>
      <c r="L25" s="154"/>
      <c r="M25" s="125"/>
      <c r="N25" s="198"/>
      <c r="O25" s="108">
        <v>10</v>
      </c>
    </row>
    <row r="26" spans="1:16" x14ac:dyDescent="0.25">
      <c r="A26" s="230"/>
      <c r="B26" s="231"/>
      <c r="C26" s="27"/>
      <c r="D26" s="11"/>
      <c r="E26" s="9"/>
      <c r="F26" s="114" t="s">
        <v>83</v>
      </c>
      <c r="G26" s="116">
        <v>34.059041312985755</v>
      </c>
      <c r="H26" s="109">
        <v>0.20498185026031024</v>
      </c>
      <c r="I26" s="164">
        <v>-4.8916984416980114E-4</v>
      </c>
      <c r="J26" s="164">
        <v>6.3712008552783972E-7</v>
      </c>
      <c r="K26" s="155">
        <v>-3.0076929253506366E-10</v>
      </c>
      <c r="L26" s="155"/>
      <c r="M26" s="156"/>
      <c r="N26" s="198"/>
      <c r="O26" s="108">
        <v>387</v>
      </c>
    </row>
    <row r="27" spans="1:16" x14ac:dyDescent="0.25">
      <c r="A27" s="225"/>
      <c r="B27" s="231"/>
      <c r="C27" s="27"/>
      <c r="D27" s="11"/>
      <c r="E27" s="9"/>
      <c r="F27" s="117" t="s">
        <v>84</v>
      </c>
      <c r="G27" s="116">
        <v>43.055728120263666</v>
      </c>
      <c r="H27" s="109">
        <v>0.11398644926975976</v>
      </c>
      <c r="I27" s="164">
        <v>-1.4730105782945202E-4</v>
      </c>
      <c r="J27" s="164">
        <v>9.8623166281189278E-8</v>
      </c>
      <c r="K27" s="164">
        <v>-2.5210163347944096E-11</v>
      </c>
      <c r="L27" s="155"/>
      <c r="M27" s="156"/>
      <c r="N27" s="198"/>
      <c r="O27" s="108">
        <v>1400</v>
      </c>
    </row>
    <row r="28" spans="1:16" ht="15.75" thickBot="1" x14ac:dyDescent="0.3">
      <c r="A28" s="227"/>
      <c r="B28" s="232"/>
      <c r="C28" s="31"/>
      <c r="D28" s="28"/>
      <c r="E28" s="10"/>
      <c r="F28" s="118" t="s">
        <v>87</v>
      </c>
      <c r="G28" s="157">
        <v>87.7</v>
      </c>
      <c r="H28" s="158"/>
      <c r="I28" s="158"/>
      <c r="J28" s="159"/>
      <c r="K28" s="159"/>
      <c r="L28" s="159"/>
      <c r="M28" s="160"/>
      <c r="N28" s="198"/>
      <c r="O28" s="108"/>
    </row>
    <row r="29" spans="1:16" ht="15.75" thickBot="1" x14ac:dyDescent="0.3">
      <c r="A29" s="63" t="s">
        <v>28</v>
      </c>
      <c r="B29" s="64"/>
      <c r="C29" s="64"/>
      <c r="D29" s="65">
        <f>12/D25*I29</f>
        <v>8534.442595673876</v>
      </c>
      <c r="E29" s="16" t="s">
        <v>16</v>
      </c>
      <c r="F29" s="17"/>
      <c r="G29" s="18"/>
      <c r="H29" s="17" t="s">
        <v>18</v>
      </c>
      <c r="I29" s="19">
        <v>25646</v>
      </c>
      <c r="J29" s="29"/>
      <c r="K29" s="21"/>
      <c r="L29" s="21"/>
      <c r="M29" s="22"/>
      <c r="N29" s="198"/>
      <c r="O29" s="30"/>
    </row>
    <row r="30" spans="1:16" ht="23.25" customHeight="1" thickBot="1" x14ac:dyDescent="0.3">
      <c r="A30" s="217" t="s">
        <v>78</v>
      </c>
      <c r="B30" s="203"/>
      <c r="C30" s="204"/>
      <c r="D30" s="236"/>
      <c r="E30" s="204"/>
      <c r="F30" s="212"/>
      <c r="G30" s="213"/>
      <c r="H30" s="212"/>
      <c r="I30" s="214"/>
      <c r="J30" s="215"/>
      <c r="K30" s="211"/>
      <c r="L30" s="211"/>
      <c r="M30" s="204"/>
      <c r="N30" s="209"/>
      <c r="O30" s="216"/>
    </row>
    <row r="31" spans="1:16" ht="15.75" thickBot="1" x14ac:dyDescent="0.3">
      <c r="A31" s="229" t="s">
        <v>73</v>
      </c>
      <c r="B31" s="224" t="s">
        <v>14</v>
      </c>
      <c r="C31" s="170">
        <f>C5+C6+C7+C8+C9+C10+C11+0.67*C12+0.7*C13+0.7*C14</f>
        <v>0</v>
      </c>
      <c r="D31" s="4">
        <f>ROUND(IF(C31&lt;O31,G31,IF(C31&lt;O32,G32+H32*C31+I32*C31^2+J32*C31^3+K32*C31^4+L32*C31^5+M32*C31^6,IF(C31&lt;O33,G33+H33*C31+I33*C31^2+J33*C31^3+K33*C31^4+L33*C31^5+M33*C31^6,G34))),2)</f>
        <v>39.380000000000003</v>
      </c>
      <c r="E31" s="5">
        <f>ROUND(C31/D31,2)</f>
        <v>0</v>
      </c>
      <c r="F31" s="110" t="s">
        <v>72</v>
      </c>
      <c r="G31" s="122">
        <v>39.380000000000003</v>
      </c>
      <c r="H31" s="153"/>
      <c r="I31" s="123"/>
      <c r="J31" s="154"/>
      <c r="K31" s="154"/>
      <c r="L31" s="154"/>
      <c r="M31" s="125"/>
      <c r="N31" s="198"/>
      <c r="O31" s="108">
        <v>10</v>
      </c>
    </row>
    <row r="32" spans="1:16" x14ac:dyDescent="0.25">
      <c r="A32" s="230"/>
      <c r="B32" s="231"/>
      <c r="C32" s="27"/>
      <c r="D32" s="11"/>
      <c r="E32" s="9"/>
      <c r="F32" s="114" t="s">
        <v>83</v>
      </c>
      <c r="G32" s="116">
        <v>37.192473113780451</v>
      </c>
      <c r="H32" s="109">
        <v>0.2238401804842588</v>
      </c>
      <c r="I32" s="164">
        <v>-5.3417346983342291E-4</v>
      </c>
      <c r="J32" s="164">
        <v>6.9573513339640097E-7</v>
      </c>
      <c r="K32" s="155">
        <v>-3.2844006744828952E-10</v>
      </c>
      <c r="L32" s="155"/>
      <c r="M32" s="156"/>
      <c r="N32" s="198"/>
      <c r="O32" s="108">
        <v>387</v>
      </c>
    </row>
    <row r="33" spans="1:16" x14ac:dyDescent="0.25">
      <c r="A33" s="225"/>
      <c r="B33" s="231"/>
      <c r="C33" s="27"/>
      <c r="D33" s="11"/>
      <c r="E33" s="9"/>
      <c r="F33" s="117" t="s">
        <v>85</v>
      </c>
      <c r="G33" s="116">
        <v>47.016855107327927</v>
      </c>
      <c r="H33" s="109">
        <v>0.12447320260257767</v>
      </c>
      <c r="I33" s="164">
        <v>-1.6085275514976163E-4</v>
      </c>
      <c r="J33" s="164">
        <v>1.076964975790587E-7</v>
      </c>
      <c r="K33" s="164">
        <v>-2.7529498375954954E-11</v>
      </c>
      <c r="L33" s="155"/>
      <c r="M33" s="156"/>
      <c r="N33" s="198"/>
      <c r="O33" s="108">
        <v>1471</v>
      </c>
    </row>
    <row r="34" spans="1:16" ht="15.75" thickBot="1" x14ac:dyDescent="0.3">
      <c r="A34" s="227"/>
      <c r="B34" s="232"/>
      <c r="C34" s="31"/>
      <c r="D34" s="28"/>
      <c r="E34" s="10"/>
      <c r="F34" s="118" t="s">
        <v>86</v>
      </c>
      <c r="G34" s="157">
        <v>95.96</v>
      </c>
      <c r="H34" s="158"/>
      <c r="I34" s="158"/>
      <c r="J34" s="159"/>
      <c r="K34" s="159"/>
      <c r="L34" s="159"/>
      <c r="M34" s="160"/>
      <c r="N34" s="198"/>
      <c r="O34" s="108"/>
    </row>
    <row r="35" spans="1:16" ht="15.75" thickBot="1" x14ac:dyDescent="0.3">
      <c r="A35" s="63" t="s">
        <v>28</v>
      </c>
      <c r="B35" s="64"/>
      <c r="C35" s="65"/>
      <c r="D35" s="65">
        <f>12/D31*I35</f>
        <v>7814.9314372778053</v>
      </c>
      <c r="E35" s="16" t="s">
        <v>16</v>
      </c>
      <c r="F35" s="17"/>
      <c r="G35" s="18"/>
      <c r="H35" s="17" t="s">
        <v>18</v>
      </c>
      <c r="I35" s="19">
        <v>25646</v>
      </c>
      <c r="J35" s="29"/>
      <c r="K35" s="21"/>
      <c r="L35" s="21"/>
      <c r="M35" s="22"/>
      <c r="N35" s="198"/>
      <c r="O35" s="30"/>
    </row>
    <row r="36" spans="1:16" ht="15.75" thickBot="1" x14ac:dyDescent="0.3">
      <c r="A36" s="237"/>
      <c r="B36" s="204"/>
      <c r="C36" s="204"/>
      <c r="D36" s="236"/>
      <c r="E36" s="204"/>
      <c r="F36" s="212"/>
      <c r="G36" s="213"/>
      <c r="H36" s="212"/>
      <c r="I36" s="214"/>
      <c r="J36" s="215"/>
      <c r="K36" s="211"/>
      <c r="L36" s="211"/>
      <c r="M36" s="204"/>
      <c r="N36" s="209"/>
      <c r="O36" s="216"/>
    </row>
    <row r="37" spans="1:16" ht="16.5" thickBot="1" x14ac:dyDescent="0.3">
      <c r="A37" s="217" t="s">
        <v>53</v>
      </c>
      <c r="B37" s="203"/>
      <c r="C37" s="204"/>
      <c r="D37" s="205"/>
      <c r="E37" s="206"/>
      <c r="F37" s="218"/>
      <c r="G37" s="207"/>
      <c r="H37" s="207"/>
      <c r="I37" s="207"/>
      <c r="J37" s="207"/>
      <c r="K37" s="207"/>
      <c r="L37" s="207"/>
      <c r="M37" s="207"/>
      <c r="N37" s="198"/>
      <c r="O37" s="198"/>
      <c r="P37" s="1"/>
    </row>
    <row r="38" spans="1:16" ht="15.75" thickBot="1" x14ac:dyDescent="0.3">
      <c r="A38" s="238" t="s">
        <v>33</v>
      </c>
      <c r="B38" s="233" t="s">
        <v>14</v>
      </c>
      <c r="C38" s="241">
        <f>C8+C9+C10+C11</f>
        <v>0</v>
      </c>
      <c r="D38" s="4">
        <f>ROUND(IF(C38&lt;O38,G38,IF(C38&lt;O39,G39+H39*C38+I39*C38^2+J39*C38^3+K39*C38^4+L39*C38^5+M39*C38^6,G40)),2)</f>
        <v>26.07</v>
      </c>
      <c r="E38" s="5">
        <f>ROUND(C38/D38,2)</f>
        <v>0</v>
      </c>
      <c r="F38" s="25" t="s">
        <v>20</v>
      </c>
      <c r="G38" s="36">
        <v>26.07</v>
      </c>
      <c r="H38" s="6"/>
      <c r="I38" s="6"/>
      <c r="J38" s="33"/>
      <c r="K38" s="33"/>
      <c r="L38" s="33"/>
      <c r="M38" s="26"/>
      <c r="N38" s="198"/>
      <c r="O38" s="7">
        <v>10</v>
      </c>
      <c r="P38" s="1"/>
    </row>
    <row r="39" spans="1:16" x14ac:dyDescent="0.25">
      <c r="A39" s="239"/>
      <c r="B39" s="242"/>
      <c r="C39" s="27"/>
      <c r="D39" s="37"/>
      <c r="E39" s="9"/>
      <c r="F39" s="34" t="s">
        <v>81</v>
      </c>
      <c r="G39" s="165">
        <v>25.463147511812</v>
      </c>
      <c r="H39" s="109">
        <v>6.1090288780164322E-2</v>
      </c>
      <c r="I39" s="164">
        <v>3.5907693846426451E-6</v>
      </c>
      <c r="J39" s="155">
        <v>-3.4814468650188952E-7</v>
      </c>
      <c r="K39" s="155"/>
      <c r="L39" s="155"/>
      <c r="M39" s="40"/>
      <c r="N39" s="198"/>
      <c r="O39" s="7">
        <v>245</v>
      </c>
      <c r="P39" s="1"/>
    </row>
    <row r="40" spans="1:16" ht="15.75" thickBot="1" x14ac:dyDescent="0.3">
      <c r="A40" s="240"/>
      <c r="B40" s="228"/>
      <c r="C40" s="31"/>
      <c r="D40" s="13"/>
      <c r="E40" s="14"/>
      <c r="F40" s="41" t="s">
        <v>82</v>
      </c>
      <c r="G40" s="42">
        <v>35.53</v>
      </c>
      <c r="H40" s="15"/>
      <c r="I40" s="43"/>
      <c r="J40" s="44"/>
      <c r="K40" s="44"/>
      <c r="L40" s="45"/>
      <c r="M40" s="35"/>
      <c r="N40" s="198"/>
      <c r="O40" s="30"/>
      <c r="P40" s="1"/>
    </row>
    <row r="41" spans="1:16" ht="15.75" thickBot="1" x14ac:dyDescent="0.3">
      <c r="A41" s="63" t="s">
        <v>28</v>
      </c>
      <c r="B41" s="64"/>
      <c r="C41" s="64"/>
      <c r="D41" s="65">
        <f>12/D38*I41</f>
        <v>11969.15995397008</v>
      </c>
      <c r="E41" s="16" t="s">
        <v>16</v>
      </c>
      <c r="F41" s="17"/>
      <c r="G41" s="18"/>
      <c r="H41" s="17" t="s">
        <v>18</v>
      </c>
      <c r="I41" s="19">
        <v>26003</v>
      </c>
      <c r="J41" s="20"/>
      <c r="K41" s="21"/>
      <c r="L41" s="21"/>
      <c r="M41" s="22"/>
      <c r="N41" s="198"/>
      <c r="O41" s="53"/>
      <c r="P41" s="1"/>
    </row>
    <row r="42" spans="1:16" x14ac:dyDescent="0.25">
      <c r="A42" s="198"/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"/>
    </row>
    <row r="43" spans="1:16" ht="16.5" thickBot="1" x14ac:dyDescent="0.3">
      <c r="A43" s="217" t="s">
        <v>52</v>
      </c>
      <c r="B43" s="203"/>
      <c r="C43" s="204"/>
      <c r="D43" s="205"/>
      <c r="E43" s="206"/>
      <c r="F43" s="218"/>
      <c r="G43" s="207"/>
      <c r="H43" s="207"/>
      <c r="I43" s="207"/>
      <c r="J43" s="207"/>
      <c r="K43" s="207"/>
      <c r="L43" s="207"/>
      <c r="M43" s="207"/>
      <c r="N43" s="198"/>
      <c r="O43" s="198"/>
      <c r="P43" s="1"/>
    </row>
    <row r="44" spans="1:16" ht="15.75" thickBot="1" x14ac:dyDescent="0.3">
      <c r="A44" s="238" t="s">
        <v>33</v>
      </c>
      <c r="B44" s="233" t="s">
        <v>14</v>
      </c>
      <c r="C44" s="241">
        <f>C8+C9+C10+C11</f>
        <v>0</v>
      </c>
      <c r="D44" s="4">
        <f>ROUND(IF(C44&lt;O44,G44,IF(C44&lt;O45,G45+H45*C44+I45*C44^2+J45*C44^3+K45*C44^4+L45*C44^5+M45*C44^6,G46)),2)</f>
        <v>33.9</v>
      </c>
      <c r="E44" s="5">
        <f>ROUND(C44/D44,2)</f>
        <v>0</v>
      </c>
      <c r="F44" s="25" t="s">
        <v>20</v>
      </c>
      <c r="G44" s="36">
        <v>33.9</v>
      </c>
      <c r="H44" s="6"/>
      <c r="I44" s="6"/>
      <c r="J44" s="33"/>
      <c r="K44" s="33"/>
      <c r="L44" s="33"/>
      <c r="M44" s="26"/>
      <c r="N44" s="198"/>
      <c r="O44" s="7">
        <v>10</v>
      </c>
      <c r="P44" s="1"/>
    </row>
    <row r="45" spans="1:16" x14ac:dyDescent="0.25">
      <c r="A45" s="239"/>
      <c r="B45" s="242"/>
      <c r="C45" s="27"/>
      <c r="D45" s="37"/>
      <c r="E45" s="9"/>
      <c r="F45" s="34" t="s">
        <v>81</v>
      </c>
      <c r="G45" s="165">
        <v>33.102091765355595</v>
      </c>
      <c r="H45" s="109">
        <v>7.941737541421362E-2</v>
      </c>
      <c r="I45" s="164">
        <v>4.6680002000354389E-6</v>
      </c>
      <c r="J45" s="155">
        <v>-4.5258809245245643E-7</v>
      </c>
      <c r="K45" s="39"/>
      <c r="L45" s="38"/>
      <c r="M45" s="40"/>
      <c r="N45" s="198"/>
      <c r="O45" s="7">
        <v>245</v>
      </c>
      <c r="P45" s="1"/>
    </row>
    <row r="46" spans="1:16" ht="15.75" thickBot="1" x14ac:dyDescent="0.3">
      <c r="A46" s="240"/>
      <c r="B46" s="228"/>
      <c r="C46" s="31"/>
      <c r="D46" s="13"/>
      <c r="E46" s="14"/>
      <c r="F46" s="41" t="s">
        <v>82</v>
      </c>
      <c r="G46" s="42">
        <v>46.18</v>
      </c>
      <c r="H46" s="15"/>
      <c r="I46" s="43"/>
      <c r="J46" s="44"/>
      <c r="K46" s="44"/>
      <c r="L46" s="45"/>
      <c r="M46" s="35"/>
      <c r="N46" s="198"/>
      <c r="O46" s="30"/>
      <c r="P46" s="1"/>
    </row>
    <row r="47" spans="1:16" ht="15.75" thickBot="1" x14ac:dyDescent="0.3">
      <c r="A47" s="63" t="s">
        <v>28</v>
      </c>
      <c r="B47" s="64"/>
      <c r="C47" s="64"/>
      <c r="D47" s="65">
        <f>12/D44*I47</f>
        <v>9204.6017699115037</v>
      </c>
      <c r="E47" s="16" t="s">
        <v>16</v>
      </c>
      <c r="F47" s="17"/>
      <c r="G47" s="18"/>
      <c r="H47" s="17" t="s">
        <v>18</v>
      </c>
      <c r="I47" s="19">
        <v>26003</v>
      </c>
      <c r="J47" s="20"/>
      <c r="K47" s="21"/>
      <c r="L47" s="21"/>
      <c r="M47" s="22"/>
      <c r="N47" s="198"/>
      <c r="O47" s="1"/>
      <c r="P47" s="1"/>
    </row>
    <row r="48" spans="1:16" x14ac:dyDescent="0.25">
      <c r="A48" s="198"/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"/>
    </row>
    <row r="49" spans="1:16" x14ac:dyDescent="0.25">
      <c r="A49" s="198"/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"/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nápočet komponent</vt:lpstr>
      <vt:lpstr>souběh výkonů ŠJ</vt:lpstr>
      <vt:lpstr>List3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340</dc:creator>
  <cp:lastModifiedBy>Jarkovský Václav Ing.</cp:lastModifiedBy>
  <cp:lastPrinted>2019-02-15T09:57:53Z</cp:lastPrinted>
  <dcterms:created xsi:type="dcterms:W3CDTF">2011-02-23T12:23:42Z</dcterms:created>
  <dcterms:modified xsi:type="dcterms:W3CDTF">2023-02-15T20:03:37Z</dcterms:modified>
</cp:coreProperties>
</file>