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2\přímé NIV 2022 zadání KÚ\příloha metodiky 2022\"/>
    </mc:Choice>
  </mc:AlternateContent>
  <xr:revisionPtr revIDLastSave="0" documentId="13_ncr:1_{449B582F-CDAA-4A33-96E0-8CD815FC64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ápočet komponent" sheetId="1" r:id="rId1"/>
    <sheet name="souběh výkonů ŠJ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44" i="2" l="1"/>
  <c r="C38" i="2"/>
  <c r="D30" i="1" l="1"/>
  <c r="E30" i="1" s="1"/>
  <c r="D22" i="1"/>
  <c r="E22" i="1" s="1"/>
  <c r="C31" i="2" l="1"/>
  <c r="D31" i="2" s="1"/>
  <c r="C25" i="2"/>
  <c r="D25" i="2" s="1"/>
  <c r="E25" i="2" s="1"/>
  <c r="D14" i="2" l="1"/>
  <c r="E14" i="2" s="1"/>
  <c r="D7" i="2"/>
  <c r="E7" i="2" s="1"/>
  <c r="D29" i="2"/>
  <c r="D13" i="2"/>
  <c r="E13" i="2" s="1"/>
  <c r="D35" i="2"/>
  <c r="E31" i="2"/>
  <c r="G13" i="2" l="1"/>
  <c r="D49" i="1"/>
  <c r="D53" i="1" s="1"/>
  <c r="E49" i="1" l="1"/>
  <c r="D42" i="1" l="1"/>
  <c r="D46" i="1" l="1"/>
  <c r="E42" i="1"/>
  <c r="D12" i="1"/>
  <c r="C15" i="1" l="1"/>
  <c r="D15" i="1" s="1"/>
  <c r="E15" i="1" s="1"/>
  <c r="D6" i="1"/>
  <c r="D9" i="1" s="1"/>
  <c r="D18" i="1" l="1"/>
  <c r="E6" i="1"/>
  <c r="D34" i="1"/>
  <c r="C33" i="1"/>
  <c r="E33" i="1" s="1"/>
  <c r="D44" i="2" l="1"/>
  <c r="D38" i="2"/>
  <c r="C21" i="2"/>
  <c r="D21" i="2" s="1"/>
  <c r="D22" i="2" s="1"/>
  <c r="C26" i="1"/>
  <c r="C18" i="1"/>
  <c r="D37" i="1"/>
  <c r="E37" i="1" s="1"/>
  <c r="D27" i="1" l="1"/>
  <c r="E26" i="1"/>
  <c r="D12" i="2"/>
  <c r="E12" i="2" s="1"/>
  <c r="D5" i="2"/>
  <c r="D11" i="2"/>
  <c r="E11" i="2" s="1"/>
  <c r="D47" i="2"/>
  <c r="D10" i="2"/>
  <c r="E44" i="2"/>
  <c r="D9" i="2"/>
  <c r="E9" i="2" s="1"/>
  <c r="D41" i="2"/>
  <c r="D8" i="2"/>
  <c r="E8" i="2" s="1"/>
  <c r="D6" i="2"/>
  <c r="E6" i="2" s="1"/>
  <c r="E38" i="2"/>
  <c r="C34" i="1"/>
  <c r="C27" i="1"/>
  <c r="E12" i="1"/>
  <c r="D38" i="1"/>
  <c r="E10" i="2" l="1"/>
  <c r="G10" i="2" s="1"/>
  <c r="E5" i="2"/>
  <c r="G5" i="2" s="1"/>
  <c r="G12" i="2"/>
  <c r="G11" i="2"/>
  <c r="G14" i="2"/>
  <c r="G8" i="2"/>
  <c r="G9" i="2"/>
  <c r="G7" i="2"/>
  <c r="E15" i="2" l="1"/>
  <c r="G6" i="2"/>
  <c r="G15" i="2" s="1"/>
</calcChain>
</file>

<file path=xl/sharedStrings.xml><?xml version="1.0" encoding="utf-8"?>
<sst xmlns="http://schemas.openxmlformats.org/spreadsheetml/2006/main" count="172" uniqueCount="91">
  <si>
    <t>parametry regresní funkce</t>
  </si>
  <si>
    <t>výkony pro výpoč</t>
  </si>
  <si>
    <t>hodnota
Np, No</t>
  </si>
  <si>
    <t>Norm. úv.
 zaměst.</t>
  </si>
  <si>
    <t>interval
(velikost)</t>
  </si>
  <si>
    <t>a0</t>
  </si>
  <si>
    <t>a1</t>
  </si>
  <si>
    <t>a2</t>
  </si>
  <si>
    <t>a3</t>
  </si>
  <si>
    <t>a4</t>
  </si>
  <si>
    <t>a5</t>
  </si>
  <si>
    <t>a6</t>
  </si>
  <si>
    <t>max (extr):</t>
  </si>
  <si>
    <t>Np</t>
  </si>
  <si>
    <t>No</t>
  </si>
  <si>
    <t>provozní z.</t>
  </si>
  <si>
    <t>Kč</t>
  </si>
  <si>
    <t>Kpedag:</t>
  </si>
  <si>
    <t>Kneped:</t>
  </si>
  <si>
    <t xml:space="preserve">Školní družina </t>
  </si>
  <si>
    <t>do 10 ž.</t>
  </si>
  <si>
    <t>Školní jídelna - pro stravované děti, které se vzdělávají v MŠ</t>
  </si>
  <si>
    <t>ŠJ MŠ</t>
  </si>
  <si>
    <t>Domov mládeže - pro  ubytované žáky, kteří se vzdělávají v SŠ</t>
  </si>
  <si>
    <t>do 20 ubyt.</t>
  </si>
  <si>
    <t>pedag. DM</t>
  </si>
  <si>
    <t>normativ</t>
  </si>
  <si>
    <t>platy pedag./ žáka v ŠD</t>
  </si>
  <si>
    <t>platy/ ubyt. ped./neped</t>
  </si>
  <si>
    <t>platy neped./ stravov.</t>
  </si>
  <si>
    <t>norm.
kompon.</t>
  </si>
  <si>
    <t>děti MŠ -obědy +dopl.j.</t>
  </si>
  <si>
    <t>žáci ZŠ - obědy</t>
  </si>
  <si>
    <t>žáci SŠ+VOŠ - obědy</t>
  </si>
  <si>
    <t>strávníci - žáci ZŠ, SŠ</t>
  </si>
  <si>
    <t>strávníci - děti MŠ</t>
  </si>
  <si>
    <t>strávníci</t>
  </si>
  <si>
    <t>hodnota
No</t>
  </si>
  <si>
    <t>úv. NPo</t>
  </si>
  <si>
    <t>Knep.</t>
  </si>
  <si>
    <t>celodenní strav - děti MŠ</t>
  </si>
  <si>
    <t>celodenní strav- ZŠ, SŠ, VOŠ</t>
  </si>
  <si>
    <t>celod. strav. bez obědů MŠ</t>
  </si>
  <si>
    <t>celod. strav. bez obědů ost</t>
  </si>
  <si>
    <t>CELKEM</t>
  </si>
  <si>
    <t>vývařovna - obědy pro MŠ</t>
  </si>
  <si>
    <t>Školní jídelna - pro stravované děti, které se vzdělávají v MŠ - oběd a doplňková jídla</t>
  </si>
  <si>
    <t>Výpočet pro školní jídelnu se stravováním více typů strávníků (souběh více normativů)</t>
  </si>
  <si>
    <t xml:space="preserve">k vyplnění </t>
  </si>
  <si>
    <t>výkony dle normativů</t>
  </si>
  <si>
    <t>platy</t>
  </si>
  <si>
    <t>tis. Kč</t>
  </si>
  <si>
    <t>Pozn.:  pro korektní výpočet musí být vyplněny všechny výkony - nevyužitá políčka musí obsahovat 0</t>
  </si>
  <si>
    <t>Školní jídelna - celodenní stravování bez obědů</t>
  </si>
  <si>
    <t>Školní jídelna - celodenní stravování včetně obědů</t>
  </si>
  <si>
    <t>20-64 ubyt.</t>
  </si>
  <si>
    <t>65-449 ubyt.</t>
  </si>
  <si>
    <t>450 a více</t>
  </si>
  <si>
    <t>do 449 žáků</t>
  </si>
  <si>
    <t>platy/ ubyt ped / nep.</t>
  </si>
  <si>
    <t>Domov mládeže - pro  ubytované studenty, kteří se vzdělávají ve VOŠ</t>
  </si>
  <si>
    <t>20-200 ubyt.</t>
  </si>
  <si>
    <t>201 a více</t>
  </si>
  <si>
    <t>neped. ŠD</t>
  </si>
  <si>
    <t>10-248 ž.</t>
  </si>
  <si>
    <t>249 ž. a více</t>
  </si>
  <si>
    <t>do 449 ubyt.</t>
  </si>
  <si>
    <t>Školní kluby</t>
  </si>
  <si>
    <t>ped. ŠK</t>
  </si>
  <si>
    <t>neped. ŠK</t>
  </si>
  <si>
    <t>130 ž. a více</t>
  </si>
  <si>
    <t>do 20 ž.</t>
  </si>
  <si>
    <t>21-129 ž.</t>
  </si>
  <si>
    <t>ŠJ ZŠ</t>
  </si>
  <si>
    <t>do 10 strav.</t>
  </si>
  <si>
    <t>ŠJ SŠ</t>
  </si>
  <si>
    <r>
      <t>Školní jídelna - pro stravované žáky, kteří se vzdělávají v SŠ, studenty VOŠ - obědy</t>
    </r>
    <r>
      <rPr>
        <sz val="12"/>
        <rFont val="Arial"/>
        <family val="2"/>
        <charset val="238"/>
      </rPr>
      <t xml:space="preserve"> (bez souběhu s dětmi MŠ, celodenním stravováním)</t>
    </r>
  </si>
  <si>
    <r>
      <t>Školní jídelna - pro stravované žáky, kteří se vzdělávají v ZŠ - obědy</t>
    </r>
    <r>
      <rPr>
        <sz val="12"/>
        <rFont val="Arial"/>
        <family val="2"/>
        <charset val="238"/>
      </rPr>
      <t xml:space="preserve"> (bez souběhu s dětmi MŠ, celodenním stravováním)</t>
    </r>
  </si>
  <si>
    <t>strávníci - žáci ZŠ</t>
  </si>
  <si>
    <r>
      <t>Školní jídelna - pro stravované žáky, kteří se vzdělávají v ZŠ</t>
    </r>
    <r>
      <rPr>
        <sz val="12"/>
        <rFont val="Arial"/>
        <family val="2"/>
        <charset val="238"/>
      </rPr>
      <t xml:space="preserve"> - se souběhem s dětmi MŠ, celodenním stravováním</t>
    </r>
  </si>
  <si>
    <r>
      <t>Školní jídelna - pro stravované žáky, kteří se vzdělávají v SŠ, studenty VOŠ - obědy</t>
    </r>
    <r>
      <rPr>
        <sz val="12"/>
        <rFont val="Arial"/>
        <family val="2"/>
        <charset val="238"/>
      </rPr>
      <t>- se souběhem s dětmi MŠ, celodenním stravováním</t>
    </r>
  </si>
  <si>
    <t>vývařovna - obědy ZŠ</t>
  </si>
  <si>
    <t>vývařovna - obědy SŠ</t>
  </si>
  <si>
    <t>10-245 ž.</t>
  </si>
  <si>
    <t>245 ž. a více</t>
  </si>
  <si>
    <t>Výpočet hodnot normativů potřeby práce pro rok 2022, normativní objem mzdových prostředků na jednotku výkonů</t>
  </si>
  <si>
    <t>10-387 strav.</t>
  </si>
  <si>
    <t>388-1400 strav.</t>
  </si>
  <si>
    <t>388-1470 strav.</t>
  </si>
  <si>
    <t>1471 a více</t>
  </si>
  <si>
    <t>1401 a více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</si>
</sst>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00"/>
    <numFmt numFmtId="165" formatCode="0.000000E+00"/>
    <numFmt numFmtId="166" formatCode="0.0000"/>
    <numFmt numFmtId="167" formatCode="0.0000000"/>
    <numFmt numFmtId="168" formatCode="0.0"/>
    <numFmt numFmtId="169" formatCode="0.000000"/>
    <numFmt numFmtId="170" formatCode="0.0000000E+00"/>
    <numFmt numFmtId="171" formatCode="0.00000E+00"/>
    <numFmt numFmtId="172" formatCode="0.000E+00"/>
    <numFmt numFmtId="173" formatCode="0.0000000000"/>
    <numFmt numFmtId="174" formatCode="0.00000000000"/>
    <numFmt numFmtId="175" formatCode="0.000000000"/>
    <numFmt numFmtId="176" formatCode="0.00000"/>
    <numFmt numFmtId="177" formatCode="0.00000000"/>
  </numFmts>
  <fonts count="25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Arial CE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73EDED"/>
        <bgColor indexed="64"/>
      </patternFill>
    </fill>
    <fill>
      <patternFill patternType="solid">
        <fgColor rgb="FFD1FFFF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33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0" fontId="0" fillId="0" borderId="0" xfId="0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/>
    </xf>
    <xf numFmtId="0" fontId="4" fillId="2" borderId="6" xfId="0" applyFont="1" applyFill="1" applyBorder="1" applyProtection="1">
      <protection locked="0"/>
    </xf>
    <xf numFmtId="164" fontId="9" fillId="3" borderId="7" xfId="0" applyNumberFormat="1" applyFont="1" applyFill="1" applyBorder="1" applyProtection="1"/>
    <xf numFmtId="164" fontId="2" fillId="3" borderId="8" xfId="0" applyNumberFormat="1" applyFont="1" applyFill="1" applyBorder="1" applyProtection="1"/>
    <xf numFmtId="0" fontId="10" fillId="0" borderId="9" xfId="0" applyFont="1" applyFill="1" applyBorder="1" applyAlignment="1" applyProtection="1">
      <alignment horizontal="right"/>
    </xf>
    <xf numFmtId="2" fontId="0" fillId="0" borderId="11" xfId="0" applyNumberFormat="1" applyBorder="1" applyAlignment="1" applyProtection="1">
      <alignment horizontal="center"/>
    </xf>
    <xf numFmtId="0" fontId="0" fillId="4" borderId="13" xfId="0" applyFill="1" applyBorder="1" applyProtection="1"/>
    <xf numFmtId="164" fontId="2" fillId="3" borderId="15" xfId="0" applyNumberFormat="1" applyFont="1" applyFill="1" applyBorder="1" applyProtection="1"/>
    <xf numFmtId="164" fontId="2" fillId="3" borderId="19" xfId="0" applyNumberFormat="1" applyFont="1" applyFill="1" applyBorder="1" applyProtection="1"/>
    <xf numFmtId="166" fontId="0" fillId="3" borderId="14" xfId="0" applyNumberFormat="1" applyFill="1" applyBorder="1" applyProtection="1"/>
    <xf numFmtId="0" fontId="0" fillId="4" borderId="22" xfId="0" applyFill="1" applyBorder="1" applyProtection="1"/>
    <xf numFmtId="166" fontId="0" fillId="3" borderId="23" xfId="0" applyNumberFormat="1" applyFill="1" applyBorder="1" applyProtection="1"/>
    <xf numFmtId="164" fontId="2" fillId="3" borderId="24" xfId="0" applyNumberFormat="1" applyFont="1" applyFill="1" applyBorder="1" applyProtection="1"/>
    <xf numFmtId="0" fontId="10" fillId="0" borderId="26" xfId="0" applyFont="1" applyFill="1" applyBorder="1" applyAlignment="1" applyProtection="1">
      <alignment horizontal="right"/>
    </xf>
    <xf numFmtId="0" fontId="0" fillId="0" borderId="3" xfId="0" applyBorder="1" applyProtection="1"/>
    <xf numFmtId="0" fontId="3" fillId="0" borderId="3" xfId="0" applyFont="1" applyBorder="1" applyAlignment="1" applyProtection="1">
      <alignment horizontal="right"/>
    </xf>
    <xf numFmtId="0" fontId="12" fillId="0" borderId="3" xfId="0" applyFont="1" applyBorder="1" applyProtection="1"/>
    <xf numFmtId="1" fontId="12" fillId="0" borderId="3" xfId="0" applyNumberFormat="1" applyFont="1" applyBorder="1" applyProtection="1"/>
    <xf numFmtId="169" fontId="12" fillId="0" borderId="3" xfId="0" applyNumberFormat="1" applyFont="1" applyBorder="1" applyProtection="1"/>
    <xf numFmtId="0" fontId="2" fillId="0" borderId="3" xfId="0" applyFont="1" applyBorder="1" applyProtection="1"/>
    <xf numFmtId="0" fontId="0" fillId="0" borderId="28" xfId="0" applyBorder="1" applyProtection="1"/>
    <xf numFmtId="164" fontId="5" fillId="3" borderId="29" xfId="0" applyNumberFormat="1" applyFont="1" applyFill="1" applyBorder="1" applyProtection="1"/>
    <xf numFmtId="0" fontId="4" fillId="0" borderId="5" xfId="0" applyFont="1" applyBorder="1" applyAlignment="1" applyProtection="1">
      <alignment horizontal="center"/>
    </xf>
    <xf numFmtId="1" fontId="4" fillId="2" borderId="6" xfId="0" applyNumberFormat="1" applyFont="1" applyFill="1" applyBorder="1" applyProtection="1">
      <protection locked="0"/>
    </xf>
    <xf numFmtId="164" fontId="3" fillId="3" borderId="32" xfId="0" applyNumberFormat="1" applyFont="1" applyFill="1" applyBorder="1" applyProtection="1"/>
    <xf numFmtId="0" fontId="10" fillId="0" borderId="10" xfId="0" applyFont="1" applyBorder="1" applyAlignment="1" applyProtection="1">
      <alignment horizontal="right"/>
    </xf>
    <xf numFmtId="0" fontId="0" fillId="0" borderId="33" xfId="0" applyBorder="1" applyAlignment="1" applyProtection="1">
      <alignment horizontal="center"/>
    </xf>
    <xf numFmtId="0" fontId="0" fillId="4" borderId="15" xfId="0" applyFill="1" applyBorder="1" applyProtection="1"/>
    <xf numFmtId="166" fontId="0" fillId="3" borderId="18" xfId="0" applyNumberFormat="1" applyFill="1" applyBorder="1" applyProtection="1"/>
    <xf numFmtId="172" fontId="13" fillId="0" borderId="3" xfId="0" applyNumberFormat="1" applyFont="1" applyBorder="1" applyProtection="1"/>
    <xf numFmtId="2" fontId="0" fillId="0" borderId="38" xfId="0" applyNumberFormat="1" applyBorder="1" applyAlignment="1" applyProtection="1">
      <alignment horizontal="center"/>
    </xf>
    <xf numFmtId="2" fontId="0" fillId="0" borderId="4" xfId="0" applyNumberFormat="1" applyBorder="1" applyAlignment="1" applyProtection="1">
      <alignment horizontal="center"/>
    </xf>
    <xf numFmtId="0" fontId="0" fillId="0" borderId="39" xfId="0" applyBorder="1" applyAlignment="1" applyProtection="1">
      <alignment horizontal="center"/>
    </xf>
    <xf numFmtId="0" fontId="0" fillId="4" borderId="24" xfId="0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Protection="1"/>
    <xf numFmtId="166" fontId="0" fillId="0" borderId="0" xfId="0" applyNumberFormat="1" applyFill="1" applyBorder="1" applyProtection="1"/>
    <xf numFmtId="164" fontId="2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0" fontId="10" fillId="0" borderId="0" xfId="0" applyFont="1" applyFill="1" applyBorder="1" applyAlignment="1" applyProtection="1">
      <alignment horizontal="right"/>
    </xf>
    <xf numFmtId="171" fontId="10" fillId="0" borderId="9" xfId="0" applyNumberFormat="1" applyFont="1" applyFill="1" applyBorder="1" applyAlignment="1" applyProtection="1">
      <alignment horizontal="right"/>
    </xf>
    <xf numFmtId="164" fontId="3" fillId="3" borderId="40" xfId="0" applyNumberFormat="1" applyFont="1" applyFill="1" applyBorder="1" applyProtection="1"/>
    <xf numFmtId="0" fontId="10" fillId="0" borderId="27" xfId="0" applyFont="1" applyBorder="1" applyAlignment="1" applyProtection="1">
      <alignment horizontal="right"/>
    </xf>
    <xf numFmtId="2" fontId="9" fillId="0" borderId="0" xfId="0" applyNumberFormat="1" applyFont="1" applyFill="1" applyBorder="1" applyProtection="1"/>
    <xf numFmtId="0" fontId="2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12" fillId="0" borderId="0" xfId="0" applyFont="1" applyFill="1" applyBorder="1" applyProtection="1"/>
    <xf numFmtId="1" fontId="12" fillId="0" borderId="0" xfId="0" applyNumberFormat="1" applyFont="1" applyFill="1" applyBorder="1" applyProtection="1"/>
    <xf numFmtId="0" fontId="0" fillId="0" borderId="0" xfId="0" applyFill="1" applyProtection="1"/>
    <xf numFmtId="2" fontId="0" fillId="0" borderId="0" xfId="0" applyNumberFormat="1" applyFill="1" applyBorder="1" applyAlignment="1" applyProtection="1">
      <alignment horizontal="center"/>
    </xf>
    <xf numFmtId="2" fontId="0" fillId="0" borderId="4" xfId="0" applyNumberFormat="1" applyFill="1" applyBorder="1" applyAlignment="1" applyProtection="1">
      <alignment horizontal="center"/>
    </xf>
    <xf numFmtId="164" fontId="10" fillId="0" borderId="32" xfId="0" applyNumberFormat="1" applyFont="1" applyFill="1" applyBorder="1" applyAlignment="1" applyProtection="1">
      <alignment horizontal="right"/>
    </xf>
    <xf numFmtId="0" fontId="4" fillId="0" borderId="12" xfId="0" applyFont="1" applyBorder="1" applyAlignment="1" applyProtection="1">
      <alignment horizontal="center"/>
    </xf>
    <xf numFmtId="164" fontId="9" fillId="3" borderId="14" xfId="0" applyNumberFormat="1" applyFont="1" applyFill="1" applyBorder="1" applyProtection="1"/>
    <xf numFmtId="171" fontId="10" fillId="0" borderId="33" xfId="0" applyNumberFormat="1" applyFont="1" applyFill="1" applyBorder="1" applyAlignment="1" applyProtection="1">
      <alignment horizontal="right"/>
    </xf>
    <xf numFmtId="165" fontId="10" fillId="0" borderId="33" xfId="0" applyNumberFormat="1" applyFont="1" applyFill="1" applyBorder="1" applyAlignment="1" applyProtection="1">
      <alignment horizontal="right"/>
    </xf>
    <xf numFmtId="0" fontId="10" fillId="0" borderId="13" xfId="0" applyFont="1" applyBorder="1" applyAlignment="1" applyProtection="1">
      <alignment horizontal="right"/>
    </xf>
    <xf numFmtId="164" fontId="3" fillId="3" borderId="41" xfId="0" applyNumberFormat="1" applyFont="1" applyFill="1" applyBorder="1" applyProtection="1"/>
    <xf numFmtId="2" fontId="10" fillId="0" borderId="41" xfId="0" applyNumberFormat="1" applyFont="1" applyFill="1" applyBorder="1" applyAlignment="1" applyProtection="1">
      <alignment horizontal="right"/>
    </xf>
    <xf numFmtId="173" fontId="10" fillId="0" borderId="26" xfId="0" applyNumberFormat="1" applyFont="1" applyFill="1" applyBorder="1" applyAlignment="1" applyProtection="1">
      <alignment horizontal="right"/>
    </xf>
    <xf numFmtId="170" fontId="10" fillId="0" borderId="26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0" fontId="0" fillId="0" borderId="38" xfId="0" applyBorder="1" applyProtection="1"/>
    <xf numFmtId="0" fontId="5" fillId="0" borderId="42" xfId="0" applyFont="1" applyBorder="1" applyAlignment="1" applyProtection="1">
      <alignment horizontal="center"/>
    </xf>
    <xf numFmtId="164" fontId="2" fillId="3" borderId="43" xfId="0" applyNumberFormat="1" applyFont="1" applyFill="1" applyBorder="1" applyProtection="1"/>
    <xf numFmtId="164" fontId="0" fillId="3" borderId="23" xfId="0" applyNumberFormat="1" applyFill="1" applyBorder="1" applyProtection="1"/>
    <xf numFmtId="164" fontId="2" fillId="3" borderId="22" xfId="0" applyNumberFormat="1" applyFont="1" applyFill="1" applyBorder="1" applyProtection="1"/>
    <xf numFmtId="0" fontId="5" fillId="0" borderId="26" xfId="0" applyFont="1" applyBorder="1" applyAlignment="1" applyProtection="1">
      <alignment horizontal="center"/>
    </xf>
    <xf numFmtId="0" fontId="4" fillId="2" borderId="44" xfId="0" applyFont="1" applyFill="1" applyBorder="1" applyProtection="1">
      <protection locked="0"/>
    </xf>
    <xf numFmtId="164" fontId="9" fillId="3" borderId="25" xfId="0" applyNumberFormat="1" applyFont="1" applyFill="1" applyBorder="1" applyProtection="1"/>
    <xf numFmtId="164" fontId="2" fillId="3" borderId="44" xfId="0" applyNumberFormat="1" applyFont="1" applyFill="1" applyBorder="1" applyProtection="1"/>
    <xf numFmtId="164" fontId="5" fillId="3" borderId="25" xfId="0" applyNumberFormat="1" applyFont="1" applyFill="1" applyBorder="1" applyProtection="1"/>
    <xf numFmtId="2" fontId="0" fillId="0" borderId="45" xfId="0" applyNumberFormat="1" applyBorder="1" applyAlignment="1" applyProtection="1">
      <alignment horizontal="center"/>
    </xf>
    <xf numFmtId="2" fontId="0" fillId="0" borderId="0" xfId="0" applyNumberFormat="1" applyBorder="1" applyAlignment="1" applyProtection="1">
      <alignment horizontal="center"/>
    </xf>
    <xf numFmtId="169" fontId="12" fillId="0" borderId="0" xfId="0" applyNumberFormat="1" applyFont="1" applyFill="1" applyBorder="1" applyProtection="1"/>
    <xf numFmtId="164" fontId="0" fillId="0" borderId="0" xfId="0" applyNumberFormat="1" applyProtection="1"/>
    <xf numFmtId="164" fontId="2" fillId="0" borderId="0" xfId="0" applyNumberFormat="1" applyFont="1" applyProtection="1"/>
    <xf numFmtId="0" fontId="14" fillId="0" borderId="0" xfId="0" applyFont="1" applyProtection="1"/>
    <xf numFmtId="164" fontId="2" fillId="3" borderId="13" xfId="0" applyNumberFormat="1" applyFont="1" applyFill="1" applyBorder="1" applyProtection="1"/>
    <xf numFmtId="0" fontId="4" fillId="0" borderId="21" xfId="0" applyFont="1" applyBorder="1" applyAlignment="1" applyProtection="1">
      <alignment horizontal="center"/>
    </xf>
    <xf numFmtId="0" fontId="0" fillId="0" borderId="47" xfId="0" applyBorder="1"/>
    <xf numFmtId="0" fontId="0" fillId="0" borderId="48" xfId="0" applyBorder="1"/>
    <xf numFmtId="0" fontId="0" fillId="4" borderId="43" xfId="0" applyFill="1" applyBorder="1" applyProtection="1"/>
    <xf numFmtId="0" fontId="18" fillId="0" borderId="47" xfId="0" applyFont="1" applyBorder="1"/>
    <xf numFmtId="0" fontId="18" fillId="0" borderId="0" xfId="0" applyFont="1"/>
    <xf numFmtId="0" fontId="0" fillId="0" borderId="39" xfId="0" applyBorder="1" applyProtection="1"/>
    <xf numFmtId="0" fontId="4" fillId="0" borderId="42" xfId="0" applyFont="1" applyBorder="1" applyAlignment="1" applyProtection="1">
      <alignment horizontal="center"/>
    </xf>
    <xf numFmtId="1" fontId="0" fillId="4" borderId="8" xfId="0" applyNumberFormat="1" applyFill="1" applyBorder="1" applyProtection="1"/>
    <xf numFmtId="0" fontId="18" fillId="0" borderId="46" xfId="0" applyFont="1" applyBorder="1"/>
    <xf numFmtId="0" fontId="3" fillId="0" borderId="16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  <xf numFmtId="0" fontId="11" fillId="5" borderId="50" xfId="0" applyFont="1" applyFill="1" applyBorder="1" applyProtection="1"/>
    <xf numFmtId="0" fontId="0" fillId="5" borderId="3" xfId="0" applyFill="1" applyBorder="1" applyProtection="1"/>
    <xf numFmtId="168" fontId="9" fillId="5" borderId="3" xfId="0" applyNumberFormat="1" applyFont="1" applyFill="1" applyBorder="1" applyProtection="1"/>
    <xf numFmtId="0" fontId="0" fillId="5" borderId="2" xfId="0" applyFill="1" applyBorder="1" applyProtection="1"/>
    <xf numFmtId="168" fontId="9" fillId="5" borderId="2" xfId="0" applyNumberFormat="1" applyFont="1" applyFill="1" applyBorder="1" applyProtection="1"/>
    <xf numFmtId="168" fontId="18" fillId="5" borderId="3" xfId="0" applyNumberFormat="1" applyFont="1" applyFill="1" applyBorder="1" applyProtection="1"/>
    <xf numFmtId="164" fontId="15" fillId="3" borderId="8" xfId="0" applyNumberFormat="1" applyFont="1" applyFill="1" applyBorder="1" applyAlignment="1" applyProtection="1">
      <alignment horizontal="center" wrapText="1"/>
    </xf>
    <xf numFmtId="164" fontId="16" fillId="3" borderId="7" xfId="0" applyNumberFormat="1" applyFont="1" applyFill="1" applyBorder="1" applyAlignment="1" applyProtection="1">
      <alignment horizontal="center" wrapText="1"/>
    </xf>
    <xf numFmtId="164" fontId="16" fillId="3" borderId="8" xfId="0" applyNumberFormat="1" applyFont="1" applyFill="1" applyBorder="1" applyAlignment="1" applyProtection="1">
      <alignment horizontal="center" wrapText="1"/>
    </xf>
    <xf numFmtId="0" fontId="6" fillId="0" borderId="2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/>
    </xf>
    <xf numFmtId="0" fontId="18" fillId="0" borderId="50" xfId="0" applyFont="1" applyBorder="1"/>
    <xf numFmtId="0" fontId="5" fillId="0" borderId="31" xfId="0" applyFont="1" applyBorder="1" applyAlignment="1" applyProtection="1">
      <alignment horizontal="center"/>
    </xf>
    <xf numFmtId="166" fontId="10" fillId="0" borderId="51" xfId="0" applyNumberFormat="1" applyFont="1" applyFill="1" applyBorder="1" applyProtection="1"/>
    <xf numFmtId="167" fontId="10" fillId="0" borderId="31" xfId="0" applyNumberFormat="1" applyFont="1" applyFill="1" applyBorder="1" applyProtection="1"/>
    <xf numFmtId="175" fontId="10" fillId="0" borderId="31" xfId="0" applyNumberFormat="1" applyFont="1" applyFill="1" applyBorder="1" applyProtection="1"/>
    <xf numFmtId="0" fontId="10" fillId="0" borderId="31" xfId="0" applyFont="1" applyFill="1" applyBorder="1" applyProtection="1"/>
    <xf numFmtId="1" fontId="10" fillId="0" borderId="30" xfId="0" applyNumberFormat="1" applyFont="1" applyBorder="1" applyProtection="1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164" fontId="2" fillId="3" borderId="28" xfId="0" applyNumberFormat="1" applyFont="1" applyFill="1" applyBorder="1" applyAlignment="1" applyProtection="1">
      <alignment horizontal="center"/>
    </xf>
    <xf numFmtId="164" fontId="9" fillId="3" borderId="29" xfId="0" applyNumberFormat="1" applyFont="1" applyFill="1" applyBorder="1" applyAlignment="1" applyProtection="1">
      <alignment horizontal="center"/>
    </xf>
    <xf numFmtId="0" fontId="0" fillId="7" borderId="52" xfId="0" applyFill="1" applyBorder="1" applyProtection="1">
      <protection locked="0"/>
    </xf>
    <xf numFmtId="0" fontId="0" fillId="7" borderId="53" xfId="0" applyFill="1" applyBorder="1" applyProtection="1">
      <protection locked="0"/>
    </xf>
    <xf numFmtId="0" fontId="0" fillId="7" borderId="54" xfId="0" applyFill="1" applyBorder="1" applyProtection="1">
      <protection locked="0"/>
    </xf>
    <xf numFmtId="0" fontId="19" fillId="0" borderId="0" xfId="0" applyFont="1"/>
    <xf numFmtId="168" fontId="4" fillId="2" borderId="8" xfId="0" applyNumberFormat="1" applyFont="1" applyFill="1" applyBorder="1" applyProtection="1"/>
    <xf numFmtId="168" fontId="4" fillId="2" borderId="28" xfId="0" applyNumberFormat="1" applyFont="1" applyFill="1" applyBorder="1" applyProtection="1"/>
    <xf numFmtId="0" fontId="20" fillId="0" borderId="0" xfId="0" applyFont="1"/>
    <xf numFmtId="0" fontId="21" fillId="0" borderId="0" xfId="0" applyFont="1"/>
    <xf numFmtId="0" fontId="18" fillId="7" borderId="0" xfId="0" applyFont="1" applyFill="1"/>
    <xf numFmtId="2" fontId="18" fillId="0" borderId="0" xfId="0" applyNumberFormat="1" applyFont="1" applyAlignment="1">
      <alignment horizontal="center"/>
    </xf>
    <xf numFmtId="165" fontId="10" fillId="0" borderId="31" xfId="0" applyNumberFormat="1" applyFont="1" applyFill="1" applyBorder="1" applyAlignment="1" applyProtection="1">
      <alignment horizontal="right"/>
    </xf>
    <xf numFmtId="1" fontId="14" fillId="0" borderId="0" xfId="0" applyNumberFormat="1" applyFont="1" applyFill="1" applyAlignment="1">
      <alignment horizontal="center"/>
    </xf>
    <xf numFmtId="0" fontId="0" fillId="0" borderId="0" xfId="0" applyFill="1"/>
    <xf numFmtId="165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166" fontId="10" fillId="0" borderId="0" xfId="0" applyNumberFormat="1" applyFont="1" applyFill="1" applyBorder="1" applyAlignment="1" applyProtection="1">
      <alignment horizontal="right"/>
    </xf>
    <xf numFmtId="167" fontId="10" fillId="0" borderId="0" xfId="0" applyNumberFormat="1" applyFont="1" applyFill="1" applyBorder="1" applyAlignment="1" applyProtection="1">
      <alignment horizontal="right"/>
    </xf>
    <xf numFmtId="165" fontId="10" fillId="0" borderId="0" xfId="0" applyNumberFormat="1" applyFont="1" applyFill="1" applyBorder="1" applyAlignment="1" applyProtection="1">
      <alignment horizontal="right"/>
    </xf>
    <xf numFmtId="11" fontId="10" fillId="0" borderId="0" xfId="0" applyNumberFormat="1" applyFont="1" applyFill="1" applyBorder="1" applyAlignment="1" applyProtection="1">
      <alignment horizontal="right"/>
    </xf>
    <xf numFmtId="0" fontId="4" fillId="2" borderId="43" xfId="0" applyFont="1" applyFill="1" applyBorder="1" applyProtection="1">
      <protection locked="0"/>
    </xf>
    <xf numFmtId="0" fontId="18" fillId="0" borderId="0" xfId="0" applyFont="1" applyProtection="1"/>
    <xf numFmtId="0" fontId="0" fillId="0" borderId="47" xfId="0" applyBorder="1" applyProtection="1"/>
    <xf numFmtId="0" fontId="0" fillId="0" borderId="48" xfId="0" applyBorder="1" applyProtection="1"/>
    <xf numFmtId="168" fontId="0" fillId="0" borderId="11" xfId="0" applyNumberFormat="1" applyBorder="1" applyAlignment="1" applyProtection="1">
      <alignment horizontal="center"/>
    </xf>
    <xf numFmtId="0" fontId="22" fillId="0" borderId="16" xfId="0" applyFont="1" applyBorder="1"/>
    <xf numFmtId="164" fontId="3" fillId="3" borderId="1" xfId="0" applyNumberFormat="1" applyFont="1" applyFill="1" applyBorder="1" applyProtection="1"/>
    <xf numFmtId="0" fontId="23" fillId="0" borderId="3" xfId="0" applyFont="1" applyBorder="1" applyProtection="1"/>
    <xf numFmtId="0" fontId="4" fillId="8" borderId="43" xfId="0" applyFont="1" applyFill="1" applyBorder="1" applyProtection="1"/>
    <xf numFmtId="164" fontId="3" fillId="3" borderId="8" xfId="0" applyNumberFormat="1" applyFont="1" applyFill="1" applyBorder="1" applyProtection="1"/>
    <xf numFmtId="164" fontId="3" fillId="3" borderId="15" xfId="0" applyNumberFormat="1" applyFont="1" applyFill="1" applyBorder="1" applyProtection="1"/>
    <xf numFmtId="164" fontId="3" fillId="3" borderId="24" xfId="0" applyNumberFormat="1" applyFont="1" applyFill="1" applyBorder="1" applyProtection="1"/>
    <xf numFmtId="0" fontId="22" fillId="0" borderId="34" xfId="0" applyFont="1" applyBorder="1"/>
    <xf numFmtId="164" fontId="3" fillId="3" borderId="56" xfId="0" applyNumberFormat="1" applyFont="1" applyFill="1" applyBorder="1" applyProtection="1"/>
    <xf numFmtId="164" fontId="3" fillId="3" borderId="19" xfId="0" applyNumberFormat="1" applyFont="1" applyFill="1" applyBorder="1" applyProtection="1"/>
    <xf numFmtId="164" fontId="3" fillId="3" borderId="57" xfId="0" applyNumberFormat="1" applyFont="1" applyFill="1" applyBorder="1" applyProtection="1"/>
    <xf numFmtId="164" fontId="3" fillId="3" borderId="44" xfId="0" applyNumberFormat="1" applyFont="1" applyFill="1" applyBorder="1" applyProtection="1"/>
    <xf numFmtId="165" fontId="22" fillId="0" borderId="16" xfId="0" applyNumberFormat="1" applyFont="1" applyBorder="1"/>
    <xf numFmtId="164" fontId="24" fillId="0" borderId="32" xfId="0" applyNumberFormat="1" applyFont="1" applyFill="1" applyBorder="1" applyAlignment="1" applyProtection="1">
      <alignment horizontal="right"/>
    </xf>
    <xf numFmtId="0" fontId="24" fillId="0" borderId="9" xfId="0" applyFont="1" applyFill="1" applyBorder="1" applyAlignment="1" applyProtection="1">
      <alignment horizontal="right"/>
    </xf>
    <xf numFmtId="171" fontId="24" fillId="0" borderId="9" xfId="0" applyNumberFormat="1" applyFont="1" applyFill="1" applyBorder="1" applyAlignment="1" applyProtection="1">
      <alignment horizontal="right"/>
    </xf>
    <xf numFmtId="0" fontId="24" fillId="0" borderId="10" xfId="0" applyFont="1" applyBorder="1" applyAlignment="1" applyProtection="1">
      <alignment horizontal="right"/>
    </xf>
    <xf numFmtId="164" fontId="24" fillId="0" borderId="34" xfId="0" applyNumberFormat="1" applyFont="1" applyFill="1" applyBorder="1" applyAlignment="1" applyProtection="1">
      <alignment horizontal="right"/>
    </xf>
    <xf numFmtId="169" fontId="24" fillId="0" borderId="16" xfId="0" applyNumberFormat="1" applyFont="1" applyFill="1" applyBorder="1" applyAlignment="1">
      <alignment horizontal="center"/>
    </xf>
    <xf numFmtId="165" fontId="24" fillId="0" borderId="16" xfId="0" applyNumberFormat="1" applyFont="1" applyFill="1" applyBorder="1" applyAlignment="1">
      <alignment horizontal="center"/>
    </xf>
    <xf numFmtId="171" fontId="24" fillId="0" borderId="33" xfId="0" applyNumberFormat="1" applyFont="1" applyFill="1" applyBorder="1" applyAlignment="1" applyProtection="1">
      <alignment horizontal="right"/>
    </xf>
    <xf numFmtId="0" fontId="24" fillId="0" borderId="13" xfId="0" applyFont="1" applyBorder="1" applyAlignment="1" applyProtection="1">
      <alignment horizontal="right"/>
    </xf>
    <xf numFmtId="164" fontId="24" fillId="0" borderId="41" xfId="0" applyNumberFormat="1" applyFont="1" applyFill="1" applyBorder="1" applyAlignment="1" applyProtection="1">
      <alignment horizontal="right"/>
    </xf>
    <xf numFmtId="0" fontId="24" fillId="0" borderId="26" xfId="0" applyFont="1" applyFill="1" applyBorder="1" applyAlignment="1" applyProtection="1">
      <alignment horizontal="right"/>
    </xf>
    <xf numFmtId="173" fontId="24" fillId="0" borderId="26" xfId="0" applyNumberFormat="1" applyFont="1" applyFill="1" applyBorder="1" applyAlignment="1" applyProtection="1">
      <alignment horizontal="right"/>
    </xf>
    <xf numFmtId="170" fontId="24" fillId="0" borderId="26" xfId="0" applyNumberFormat="1" applyFont="1" applyFill="1" applyBorder="1" applyAlignment="1" applyProtection="1">
      <alignment horizontal="right"/>
    </xf>
    <xf numFmtId="165" fontId="24" fillId="0" borderId="26" xfId="0" applyNumberFormat="1" applyFont="1" applyFill="1" applyBorder="1" applyAlignment="1" applyProtection="1">
      <alignment horizontal="right"/>
    </xf>
    <xf numFmtId="0" fontId="24" fillId="0" borderId="27" xfId="0" applyFont="1" applyBorder="1" applyAlignment="1" applyProtection="1">
      <alignment horizontal="right"/>
    </xf>
    <xf numFmtId="164" fontId="22" fillId="0" borderId="32" xfId="0" applyNumberFormat="1" applyFont="1" applyFill="1" applyBorder="1" applyAlignment="1" applyProtection="1">
      <alignment horizontal="right"/>
    </xf>
    <xf numFmtId="176" fontId="22" fillId="0" borderId="9" xfId="0" applyNumberFormat="1" applyFont="1" applyFill="1" applyBorder="1" applyAlignment="1" applyProtection="1">
      <alignment horizontal="right"/>
    </xf>
    <xf numFmtId="0" fontId="22" fillId="0" borderId="9" xfId="0" applyFont="1" applyFill="1" applyBorder="1" applyAlignment="1" applyProtection="1">
      <alignment horizontal="right"/>
    </xf>
    <xf numFmtId="171" fontId="22" fillId="0" borderId="9" xfId="0" applyNumberFormat="1" applyFont="1" applyFill="1" applyBorder="1" applyAlignment="1" applyProtection="1">
      <alignment horizontal="right"/>
    </xf>
    <xf numFmtId="0" fontId="22" fillId="0" borderId="10" xfId="0" applyFont="1" applyBorder="1" applyAlignment="1" applyProtection="1">
      <alignment horizontal="right"/>
    </xf>
    <xf numFmtId="166" fontId="22" fillId="0" borderId="40" xfId="0" applyNumberFormat="1" applyFont="1" applyFill="1" applyBorder="1" applyAlignment="1" applyProtection="1">
      <alignment horizontal="right"/>
    </xf>
    <xf numFmtId="169" fontId="22" fillId="0" borderId="40" xfId="0" applyNumberFormat="1" applyFont="1" applyFill="1" applyBorder="1" applyAlignment="1" applyProtection="1">
      <alignment horizontal="right"/>
    </xf>
    <xf numFmtId="165" fontId="22" fillId="0" borderId="40" xfId="0" applyNumberFormat="1" applyFont="1" applyFill="1" applyBorder="1" applyAlignment="1" applyProtection="1">
      <alignment horizontal="right"/>
    </xf>
    <xf numFmtId="171" fontId="22" fillId="0" borderId="33" xfId="0" applyNumberFormat="1" applyFont="1" applyFill="1" applyBorder="1" applyAlignment="1" applyProtection="1">
      <alignment horizontal="right"/>
    </xf>
    <xf numFmtId="0" fontId="22" fillId="0" borderId="13" xfId="0" applyFont="1" applyBorder="1" applyAlignment="1" applyProtection="1">
      <alignment horizontal="right"/>
    </xf>
    <xf numFmtId="164" fontId="22" fillId="0" borderId="41" xfId="0" applyNumberFormat="1" applyFont="1" applyFill="1" applyBorder="1" applyAlignment="1" applyProtection="1">
      <alignment horizontal="right"/>
    </xf>
    <xf numFmtId="0" fontId="22" fillId="0" borderId="26" xfId="0" applyFont="1" applyFill="1" applyBorder="1" applyAlignment="1" applyProtection="1">
      <alignment horizontal="right"/>
    </xf>
    <xf numFmtId="173" fontId="22" fillId="0" borderId="26" xfId="0" applyNumberFormat="1" applyFont="1" applyFill="1" applyBorder="1" applyAlignment="1" applyProtection="1">
      <alignment horizontal="right"/>
    </xf>
    <xf numFmtId="170" fontId="22" fillId="0" borderId="26" xfId="0" applyNumberFormat="1" applyFont="1" applyFill="1" applyBorder="1" applyAlignment="1" applyProtection="1">
      <alignment horizontal="right"/>
    </xf>
    <xf numFmtId="165" fontId="22" fillId="0" borderId="26" xfId="0" applyNumberFormat="1" applyFont="1" applyFill="1" applyBorder="1" applyAlignment="1" applyProtection="1">
      <alignment horizontal="right"/>
    </xf>
    <xf numFmtId="0" fontId="22" fillId="0" borderId="27" xfId="0" applyFont="1" applyBorder="1" applyAlignment="1" applyProtection="1">
      <alignment horizontal="right"/>
    </xf>
    <xf numFmtId="169" fontId="24" fillId="0" borderId="9" xfId="0" applyNumberFormat="1" applyFont="1" applyFill="1" applyBorder="1" applyAlignment="1" applyProtection="1">
      <alignment horizontal="right"/>
    </xf>
    <xf numFmtId="165" fontId="24" fillId="0" borderId="9" xfId="0" applyNumberFormat="1" applyFont="1" applyFill="1" applyBorder="1" applyAlignment="1" applyProtection="1">
      <alignment horizontal="right"/>
    </xf>
    <xf numFmtId="165" fontId="24" fillId="0" borderId="16" xfId="0" applyNumberFormat="1" applyFont="1" applyFill="1" applyBorder="1" applyAlignment="1" applyProtection="1">
      <alignment horizontal="right"/>
    </xf>
    <xf numFmtId="0" fontId="24" fillId="0" borderId="17" xfId="0" applyFont="1" applyBorder="1" applyAlignment="1" applyProtection="1">
      <alignment horizontal="right"/>
    </xf>
    <xf numFmtId="164" fontId="24" fillId="0" borderId="35" xfId="0" applyNumberFormat="1" applyFont="1" applyFill="1" applyBorder="1" applyAlignment="1" applyProtection="1">
      <alignment horizontal="right"/>
    </xf>
    <xf numFmtId="0" fontId="24" fillId="0" borderId="36" xfId="0" applyFont="1" applyFill="1" applyBorder="1" applyAlignment="1" applyProtection="1">
      <alignment horizontal="right"/>
    </xf>
    <xf numFmtId="0" fontId="22" fillId="0" borderId="36" xfId="0" applyFont="1" applyBorder="1" applyProtection="1"/>
    <xf numFmtId="0" fontId="22" fillId="0" borderId="37" xfId="0" applyFont="1" applyBorder="1" applyProtection="1"/>
    <xf numFmtId="174" fontId="24" fillId="0" borderId="26" xfId="0" applyNumberFormat="1" applyFont="1" applyFill="1" applyBorder="1" applyAlignment="1" applyProtection="1">
      <alignment horizontal="right"/>
    </xf>
    <xf numFmtId="1" fontId="24" fillId="0" borderId="26" xfId="0" applyNumberFormat="1" applyFont="1" applyFill="1" applyBorder="1" applyAlignment="1" applyProtection="1">
      <alignment horizontal="right"/>
    </xf>
    <xf numFmtId="0" fontId="24" fillId="0" borderId="35" xfId="0" applyFont="1" applyFill="1" applyBorder="1" applyAlignment="1" applyProtection="1">
      <alignment horizontal="right"/>
    </xf>
    <xf numFmtId="1" fontId="24" fillId="0" borderId="27" xfId="0" applyNumberFormat="1" applyFont="1" applyBorder="1" applyProtection="1"/>
    <xf numFmtId="166" fontId="24" fillId="0" borderId="32" xfId="0" applyNumberFormat="1" applyFont="1" applyFill="1" applyBorder="1" applyAlignment="1" applyProtection="1">
      <alignment horizontal="right"/>
    </xf>
    <xf numFmtId="170" fontId="24" fillId="0" borderId="16" xfId="0" applyNumberFormat="1" applyFont="1" applyFill="1" applyBorder="1" applyAlignment="1" applyProtection="1">
      <alignment horizontal="right"/>
    </xf>
    <xf numFmtId="0" fontId="11" fillId="5" borderId="2" xfId="0" applyFont="1" applyFill="1" applyBorder="1" applyProtection="1"/>
    <xf numFmtId="0" fontId="0" fillId="5" borderId="0" xfId="0" applyFill="1" applyBorder="1" applyProtection="1"/>
    <xf numFmtId="168" fontId="9" fillId="5" borderId="0" xfId="0" applyNumberFormat="1" applyFont="1" applyFill="1" applyBorder="1" applyProtection="1"/>
    <xf numFmtId="0" fontId="0" fillId="0" borderId="0" xfId="0" applyBorder="1" applyProtection="1"/>
    <xf numFmtId="0" fontId="3" fillId="0" borderId="0" xfId="0" applyFont="1" applyBorder="1" applyAlignment="1" applyProtection="1">
      <alignment horizontal="right"/>
    </xf>
    <xf numFmtId="0" fontId="12" fillId="0" borderId="0" xfId="0" applyFont="1" applyBorder="1" applyProtection="1"/>
    <xf numFmtId="1" fontId="12" fillId="0" borderId="0" xfId="0" applyNumberFormat="1" applyFont="1" applyBorder="1" applyProtection="1"/>
    <xf numFmtId="169" fontId="12" fillId="0" borderId="0" xfId="0" applyNumberFormat="1" applyFont="1" applyBorder="1" applyProtection="1"/>
    <xf numFmtId="0" fontId="2" fillId="0" borderId="0" xfId="0" applyFont="1" applyBorder="1" applyProtection="1"/>
    <xf numFmtId="176" fontId="22" fillId="0" borderId="34" xfId="0" applyNumberFormat="1" applyFont="1" applyBorder="1"/>
    <xf numFmtId="164" fontId="0" fillId="0" borderId="36" xfId="0" applyNumberFormat="1" applyBorder="1"/>
    <xf numFmtId="164" fontId="0" fillId="0" borderId="33" xfId="0" applyNumberFormat="1" applyBorder="1"/>
    <xf numFmtId="164" fontId="0" fillId="0" borderId="55" xfId="0" applyNumberFormat="1" applyBorder="1"/>
    <xf numFmtId="164" fontId="18" fillId="0" borderId="0" xfId="0" applyNumberFormat="1" applyFont="1"/>
    <xf numFmtId="168" fontId="4" fillId="2" borderId="6" xfId="0" applyNumberFormat="1" applyFont="1" applyFill="1" applyBorder="1" applyProtection="1"/>
    <xf numFmtId="0" fontId="4" fillId="0" borderId="20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166" fontId="22" fillId="0" borderId="34" xfId="0" applyNumberFormat="1" applyFont="1" applyBorder="1"/>
    <xf numFmtId="177" fontId="22" fillId="0" borderId="16" xfId="0" applyNumberFormat="1" applyFont="1" applyBorder="1"/>
    <xf numFmtId="0" fontId="4" fillId="2" borderId="6" xfId="0" applyFont="1" applyFill="1" applyBorder="1"/>
    <xf numFmtId="164" fontId="0" fillId="6" borderId="52" xfId="0" applyNumberFormat="1" applyFill="1" applyBorder="1" applyAlignment="1">
      <alignment horizontal="center"/>
    </xf>
    <xf numFmtId="164" fontId="0" fillId="6" borderId="53" xfId="0" applyNumberFormat="1" applyFill="1" applyBorder="1" applyAlignment="1">
      <alignment horizontal="center"/>
    </xf>
    <xf numFmtId="164" fontId="0" fillId="6" borderId="54" xfId="0" applyNumberFormat="1" applyFill="1" applyBorder="1" applyAlignment="1">
      <alignment horizontal="center"/>
    </xf>
    <xf numFmtId="164" fontId="18" fillId="6" borderId="0" xfId="0" applyNumberFormat="1" applyFont="1" applyFill="1" applyBorder="1" applyAlignment="1">
      <alignment horizontal="center"/>
    </xf>
  </cellXfs>
  <cellStyles count="2">
    <cellStyle name="Normální" xfId="0" builtinId="0"/>
    <cellStyle name="normální 2" xfId="1" xr:uid="{D921FF61-2F84-48D4-9593-854ACA03F3E5}"/>
  </cellStyles>
  <dxfs count="0"/>
  <tableStyles count="0" defaultTableStyle="TableStyleMedium9" defaultPivotStyle="PivotStyleLight16"/>
  <colors>
    <mruColors>
      <color rgb="FFD1FFFF"/>
      <color rgb="FF7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3"/>
  <sheetViews>
    <sheetView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C26" sqref="C26"/>
    </sheetView>
  </sheetViews>
  <sheetFormatPr defaultRowHeight="15" x14ac:dyDescent="0.25"/>
  <cols>
    <col min="1" max="1" width="10.7109375" customWidth="1"/>
    <col min="7" max="7" width="10.7109375" customWidth="1"/>
    <col min="8" max="8" width="11.140625" customWidth="1"/>
    <col min="9" max="11" width="12.140625" customWidth="1"/>
    <col min="12" max="12" width="11.42578125" customWidth="1"/>
    <col min="13" max="13" width="7.28515625" customWidth="1"/>
    <col min="14" max="14" width="5.140625" customWidth="1"/>
  </cols>
  <sheetData>
    <row r="1" spans="1:15" ht="15.75" x14ac:dyDescent="0.25">
      <c r="A1" s="1" t="s">
        <v>85</v>
      </c>
      <c r="B1" s="2"/>
      <c r="C1" s="2"/>
      <c r="D1" s="2"/>
      <c r="E1" s="3"/>
      <c r="F1" s="4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5"/>
      <c r="B2" s="2"/>
      <c r="C2" s="2"/>
      <c r="D2" s="2"/>
      <c r="E2" s="3"/>
      <c r="F2" s="4"/>
      <c r="G2" s="2" t="s">
        <v>0</v>
      </c>
      <c r="H2" s="2"/>
      <c r="I2" s="2"/>
      <c r="J2" s="2"/>
      <c r="K2" s="2"/>
      <c r="L2" s="2"/>
      <c r="M2" s="2"/>
      <c r="N2" s="2"/>
      <c r="O2" s="2"/>
    </row>
    <row r="3" spans="1:15" ht="25.5" x14ac:dyDescent="0.25">
      <c r="A3" s="97" t="s">
        <v>26</v>
      </c>
      <c r="B3" s="98" t="s">
        <v>30</v>
      </c>
      <c r="C3" s="99" t="s">
        <v>1</v>
      </c>
      <c r="D3" s="107" t="s">
        <v>2</v>
      </c>
      <c r="E3" s="108" t="s">
        <v>3</v>
      </c>
      <c r="F3" s="106" t="s">
        <v>4</v>
      </c>
      <c r="G3" s="224" t="s">
        <v>5</v>
      </c>
      <c r="H3" s="225" t="s">
        <v>6</v>
      </c>
      <c r="I3" s="225" t="s">
        <v>7</v>
      </c>
      <c r="J3" s="225" t="s">
        <v>8</v>
      </c>
      <c r="K3" s="225" t="s">
        <v>9</v>
      </c>
      <c r="L3" s="225" t="s">
        <v>10</v>
      </c>
      <c r="M3" s="225" t="s">
        <v>11</v>
      </c>
      <c r="N3" s="6"/>
      <c r="O3" s="7" t="s">
        <v>12</v>
      </c>
    </row>
    <row r="5" spans="1:15" ht="16.5" thickBot="1" x14ac:dyDescent="0.3">
      <c r="A5" s="8" t="s">
        <v>19</v>
      </c>
      <c r="B5" s="42"/>
      <c r="C5" s="43"/>
      <c r="D5" s="44"/>
      <c r="E5" s="45"/>
      <c r="F5" s="47"/>
      <c r="G5" s="47"/>
      <c r="H5" s="47"/>
      <c r="I5" s="47"/>
      <c r="J5" s="47"/>
      <c r="K5" s="47"/>
      <c r="L5" s="47"/>
      <c r="M5" s="47"/>
      <c r="N5" s="43"/>
      <c r="O5" s="58"/>
    </row>
    <row r="6" spans="1:15" ht="15.75" thickBot="1" x14ac:dyDescent="0.3">
      <c r="A6" s="96" t="s">
        <v>63</v>
      </c>
      <c r="B6" s="30" t="s">
        <v>14</v>
      </c>
      <c r="C6" s="9">
        <v>15</v>
      </c>
      <c r="D6" s="10">
        <f>ROUND(IF(C6&lt;O6,G6,IF(C6&lt;O7,G7+H7*C6+I7*C6^2+J7*C6^3+K7*C6^4+L7*C6^5+M7*C6^6,G8)),2)</f>
        <v>590.78</v>
      </c>
      <c r="E6" s="11">
        <f>ROUND(C6/D6,2)</f>
        <v>0.03</v>
      </c>
      <c r="F6" s="161" t="s">
        <v>20</v>
      </c>
      <c r="G6" s="164">
        <v>584.20000000000005</v>
      </c>
      <c r="H6" s="165"/>
      <c r="I6" s="165"/>
      <c r="J6" s="166"/>
      <c r="K6" s="166"/>
      <c r="L6" s="166"/>
      <c r="M6" s="167"/>
      <c r="N6" s="2"/>
      <c r="O6" s="13">
        <v>10</v>
      </c>
    </row>
    <row r="7" spans="1:15" x14ac:dyDescent="0.25">
      <c r="A7" s="88"/>
      <c r="B7" s="60"/>
      <c r="C7" s="90"/>
      <c r="D7" s="61"/>
      <c r="E7" s="15"/>
      <c r="F7" s="156" t="s">
        <v>64</v>
      </c>
      <c r="G7" s="168">
        <v>569.17200000000003</v>
      </c>
      <c r="H7" s="169">
        <v>1.6351070000000001</v>
      </c>
      <c r="I7" s="170">
        <v>-1.377039E-2</v>
      </c>
      <c r="J7" s="170">
        <v>5.517269E-5</v>
      </c>
      <c r="K7" s="170">
        <v>-8.1234750000000006E-8</v>
      </c>
      <c r="L7" s="171"/>
      <c r="M7" s="172"/>
      <c r="N7" s="2"/>
      <c r="O7" s="13">
        <v>249</v>
      </c>
    </row>
    <row r="8" spans="1:15" ht="15.75" thickBot="1" x14ac:dyDescent="0.3">
      <c r="A8" s="89"/>
      <c r="B8" s="40"/>
      <c r="C8" s="41"/>
      <c r="D8" s="19"/>
      <c r="E8" s="20"/>
      <c r="F8" s="162" t="s">
        <v>65</v>
      </c>
      <c r="G8" s="173">
        <v>662</v>
      </c>
      <c r="H8" s="174"/>
      <c r="I8" s="175"/>
      <c r="J8" s="176"/>
      <c r="K8" s="176"/>
      <c r="L8" s="177"/>
      <c r="M8" s="178"/>
      <c r="N8" s="2"/>
      <c r="O8" s="38"/>
    </row>
    <row r="9" spans="1:15" ht="15.75" thickBot="1" x14ac:dyDescent="0.3">
      <c r="A9" s="100" t="s">
        <v>27</v>
      </c>
      <c r="B9" s="103"/>
      <c r="C9" s="104"/>
      <c r="D9" s="102">
        <f>12/D6*I9</f>
        <v>420.17671552862322</v>
      </c>
      <c r="E9" s="22" t="s">
        <v>16</v>
      </c>
      <c r="F9" s="23"/>
      <c r="G9" s="24"/>
      <c r="H9" s="23" t="s">
        <v>18</v>
      </c>
      <c r="I9" s="25">
        <v>20686</v>
      </c>
      <c r="J9" s="27"/>
      <c r="K9" s="27"/>
      <c r="L9" s="27"/>
      <c r="M9" s="28"/>
      <c r="N9" s="2"/>
      <c r="O9" s="70"/>
    </row>
    <row r="10" spans="1:15" x14ac:dyDescent="0.25">
      <c r="B10" s="43"/>
      <c r="C10" s="51"/>
      <c r="D10" s="43"/>
      <c r="E10" s="52"/>
      <c r="F10" s="53"/>
      <c r="G10" s="47"/>
      <c r="H10" s="52"/>
      <c r="I10" s="52"/>
      <c r="J10" s="52"/>
      <c r="K10" s="52"/>
      <c r="L10" s="52"/>
      <c r="M10" s="43"/>
      <c r="N10" s="56"/>
      <c r="O10" s="43"/>
    </row>
    <row r="11" spans="1:15" ht="16.5" thickBot="1" x14ac:dyDescent="0.3">
      <c r="A11" s="8" t="s">
        <v>67</v>
      </c>
      <c r="B11" s="42"/>
      <c r="C11" s="43"/>
      <c r="D11" s="44"/>
      <c r="E11" s="45"/>
      <c r="F11" s="47"/>
      <c r="G11" s="47"/>
      <c r="H11" s="47"/>
      <c r="I11" s="47"/>
      <c r="J11" s="47"/>
      <c r="K11" s="47"/>
      <c r="L11" s="47"/>
      <c r="M11" s="47"/>
      <c r="N11" s="43"/>
      <c r="O11" s="58"/>
    </row>
    <row r="12" spans="1:15" ht="15.75" thickBot="1" x14ac:dyDescent="0.3">
      <c r="A12" s="96" t="s">
        <v>68</v>
      </c>
      <c r="B12" s="30" t="s">
        <v>13</v>
      </c>
      <c r="C12" s="9">
        <v>35</v>
      </c>
      <c r="D12" s="10">
        <f>ROUND(IF(C12&lt;O12,G12+H12*C12,IF(C12&lt;O13,G13+H13*C12+I13*C12^2+J13*C12^3+K13*C12^4+L13*C12^5+M13*C12^6,G14)),2)</f>
        <v>58.8</v>
      </c>
      <c r="E12" s="11">
        <f>ROUND(C12/D12,2)</f>
        <v>0.6</v>
      </c>
      <c r="F12" s="161" t="s">
        <v>71</v>
      </c>
      <c r="G12" s="179">
        <v>0</v>
      </c>
      <c r="H12" s="180">
        <v>2</v>
      </c>
      <c r="I12" s="181"/>
      <c r="J12" s="182"/>
      <c r="K12" s="182"/>
      <c r="L12" s="182"/>
      <c r="M12" s="183"/>
      <c r="N12" s="2"/>
      <c r="O12" s="13">
        <v>21</v>
      </c>
    </row>
    <row r="13" spans="1:15" x14ac:dyDescent="0.25">
      <c r="A13" s="88"/>
      <c r="B13" s="60"/>
      <c r="C13" s="90"/>
      <c r="D13" s="61"/>
      <c r="E13" s="15"/>
      <c r="F13" s="156" t="s">
        <v>72</v>
      </c>
      <c r="G13" s="184">
        <v>10.2867</v>
      </c>
      <c r="H13" s="185">
        <v>1.700024</v>
      </c>
      <c r="I13" s="186">
        <v>-9.5005479999999993E-3</v>
      </c>
      <c r="J13" s="186">
        <v>1.5090699999999999E-5</v>
      </c>
      <c r="K13" s="186"/>
      <c r="L13" s="187"/>
      <c r="M13" s="188"/>
      <c r="N13" s="2"/>
      <c r="O13" s="13">
        <v>130</v>
      </c>
    </row>
    <row r="14" spans="1:15" ht="15.75" thickBot="1" x14ac:dyDescent="0.3">
      <c r="A14" s="89"/>
      <c r="B14" s="40"/>
      <c r="C14" s="41"/>
      <c r="D14" s="19"/>
      <c r="E14" s="20"/>
      <c r="F14" s="162" t="s">
        <v>70</v>
      </c>
      <c r="G14" s="189">
        <v>103.89</v>
      </c>
      <c r="H14" s="190"/>
      <c r="I14" s="191"/>
      <c r="J14" s="192"/>
      <c r="K14" s="192"/>
      <c r="L14" s="193"/>
      <c r="M14" s="194"/>
      <c r="N14" s="2"/>
      <c r="O14" s="38"/>
    </row>
    <row r="15" spans="1:15" x14ac:dyDescent="0.25">
      <c r="A15" s="96" t="s">
        <v>69</v>
      </c>
      <c r="B15" s="30" t="s">
        <v>14</v>
      </c>
      <c r="C15" s="154">
        <f>C12</f>
        <v>35</v>
      </c>
      <c r="D15" s="10">
        <f>ROUND(IF(C15&lt;O15,G15,IF(C15&lt;O16,G16+H16*C15+I16*C15^2+J16*C15^3+K16*C15^4+L16*C15^5+M16*C15^6,G17)),2)</f>
        <v>611.78</v>
      </c>
      <c r="E15" s="11">
        <f>ROUND(C15/D15,2)</f>
        <v>0.06</v>
      </c>
      <c r="F15" s="161" t="s">
        <v>20</v>
      </c>
      <c r="G15" s="164">
        <v>584.20000000000005</v>
      </c>
      <c r="H15" s="165"/>
      <c r="I15" s="165"/>
      <c r="J15" s="166"/>
      <c r="K15" s="166"/>
      <c r="L15" s="166"/>
      <c r="M15" s="167"/>
      <c r="N15" s="2"/>
      <c r="O15" s="13">
        <v>10</v>
      </c>
    </row>
    <row r="16" spans="1:15" x14ac:dyDescent="0.25">
      <c r="A16" s="88"/>
      <c r="B16" s="60"/>
      <c r="C16" s="14"/>
      <c r="D16" s="61"/>
      <c r="E16" s="15"/>
      <c r="F16" s="156" t="s">
        <v>64</v>
      </c>
      <c r="G16" s="168">
        <v>569.17200000000003</v>
      </c>
      <c r="H16" s="169">
        <v>1.6351070000000001</v>
      </c>
      <c r="I16" s="170">
        <v>-1.377039E-2</v>
      </c>
      <c r="J16" s="170">
        <v>5.517269E-5</v>
      </c>
      <c r="K16" s="170">
        <v>-8.1234750000000006E-8</v>
      </c>
      <c r="L16" s="171"/>
      <c r="M16" s="172"/>
      <c r="N16" s="2"/>
      <c r="O16" s="13">
        <v>249</v>
      </c>
    </row>
    <row r="17" spans="1:24" ht="15.75" thickBot="1" x14ac:dyDescent="0.3">
      <c r="A17" s="89"/>
      <c r="B17" s="40"/>
      <c r="C17" s="41"/>
      <c r="D17" s="19"/>
      <c r="E17" s="20"/>
      <c r="F17" s="162" t="s">
        <v>65</v>
      </c>
      <c r="G17" s="173">
        <v>662</v>
      </c>
      <c r="H17" s="174"/>
      <c r="I17" s="175"/>
      <c r="J17" s="176"/>
      <c r="K17" s="176"/>
      <c r="L17" s="177"/>
      <c r="M17" s="178"/>
      <c r="N17" s="2"/>
      <c r="O17" s="38"/>
    </row>
    <row r="18" spans="1:24" ht="15.75" thickBot="1" x14ac:dyDescent="0.3">
      <c r="A18" s="100" t="s">
        <v>27</v>
      </c>
      <c r="B18" s="103"/>
      <c r="C18" s="102">
        <f>12/D12*G18</f>
        <v>8318.3673469387759</v>
      </c>
      <c r="D18" s="102">
        <f>12/D15*I18</f>
        <v>405.75370231128835</v>
      </c>
      <c r="E18" s="22" t="s">
        <v>16</v>
      </c>
      <c r="F18" s="23" t="s">
        <v>17</v>
      </c>
      <c r="G18" s="153">
        <v>40760</v>
      </c>
      <c r="H18" s="23" t="s">
        <v>18</v>
      </c>
      <c r="I18" s="25">
        <v>20686</v>
      </c>
      <c r="J18" s="27"/>
      <c r="K18" s="27"/>
      <c r="L18" s="27"/>
      <c r="M18" s="28"/>
      <c r="N18" s="2"/>
      <c r="O18" s="70"/>
    </row>
    <row r="19" spans="1:24" x14ac:dyDescent="0.25">
      <c r="B19" s="43"/>
      <c r="C19" s="51"/>
      <c r="D19" s="43"/>
      <c r="E19" s="52"/>
      <c r="F19" s="53"/>
      <c r="G19" s="47"/>
      <c r="H19" s="52"/>
      <c r="I19" s="52"/>
      <c r="J19" s="52"/>
      <c r="K19" s="52"/>
      <c r="L19" s="52"/>
      <c r="M19" s="43"/>
      <c r="N19" s="56"/>
      <c r="O19" s="43"/>
    </row>
    <row r="21" spans="1:24" ht="16.5" thickBot="1" x14ac:dyDescent="0.3">
      <c r="A21" s="8" t="s">
        <v>23</v>
      </c>
    </row>
    <row r="22" spans="1:24" ht="15.75" thickBot="1" x14ac:dyDescent="0.3">
      <c r="A22" s="92" t="s">
        <v>25</v>
      </c>
      <c r="B22" s="30" t="s">
        <v>13</v>
      </c>
      <c r="C22" s="31">
        <v>120</v>
      </c>
      <c r="D22" s="10">
        <f>ROUND(IF(C22&lt;O22,G22,IF(C22&lt;O23,G23+H23*C22+I23*C22^2+J23*C22^3+K23*C22^4+L23*C22^5+M23*C22^6,IF(C22&lt;O24,G24+H24*C22+I24*C22^2+J24*C22^3+K24*C22^4+L24*C22^5+M24*C22^6,G25))),2)</f>
        <v>19.43</v>
      </c>
      <c r="E22" s="11">
        <f>ROUND(C22/D22,3)</f>
        <v>6.1760000000000002</v>
      </c>
      <c r="F22" s="152" t="s">
        <v>24</v>
      </c>
      <c r="G22" s="207">
        <v>10.345860000000002</v>
      </c>
      <c r="H22" s="195"/>
      <c r="I22" s="165"/>
      <c r="J22" s="196"/>
      <c r="K22" s="196"/>
      <c r="L22" s="196"/>
      <c r="M22" s="167"/>
      <c r="N22" s="2"/>
      <c r="O22" s="150">
        <v>20</v>
      </c>
      <c r="Q22" s="141"/>
      <c r="R22" s="141"/>
      <c r="S22" s="141"/>
      <c r="T22" s="141"/>
      <c r="U22" s="141"/>
      <c r="V22" s="141"/>
      <c r="W22" s="141"/>
      <c r="X22" s="138"/>
    </row>
    <row r="23" spans="1:24" x14ac:dyDescent="0.25">
      <c r="A23" s="91"/>
      <c r="B23" s="34"/>
      <c r="C23" s="35"/>
      <c r="D23" s="17"/>
      <c r="E23" s="15"/>
      <c r="F23" s="156" t="s">
        <v>55</v>
      </c>
      <c r="G23" s="158">
        <v>6.8905200000000004</v>
      </c>
      <c r="H23" s="151">
        <v>0.19227148999999999</v>
      </c>
      <c r="I23" s="197">
        <v>-1.0309112999999999E-3</v>
      </c>
      <c r="J23" s="197">
        <v>2.8447808000000001E-6</v>
      </c>
      <c r="K23" s="163">
        <v>-3.8830249999999996E-9</v>
      </c>
      <c r="L23" s="163">
        <v>2.0426426999999998E-12</v>
      </c>
      <c r="M23" s="198"/>
      <c r="N23" s="2"/>
      <c r="O23" s="150">
        <v>65</v>
      </c>
      <c r="Q23" s="142"/>
      <c r="R23" s="143"/>
      <c r="S23" s="47"/>
      <c r="T23" s="144"/>
      <c r="U23" s="139"/>
      <c r="V23" s="140"/>
      <c r="W23" s="140"/>
      <c r="X23" s="137"/>
    </row>
    <row r="24" spans="1:24" x14ac:dyDescent="0.25">
      <c r="A24" s="88"/>
      <c r="B24" s="34"/>
      <c r="C24" s="35"/>
      <c r="D24" s="17"/>
      <c r="E24" s="15"/>
      <c r="F24" s="159" t="s">
        <v>56</v>
      </c>
      <c r="G24" s="158">
        <v>7.9672999999999998</v>
      </c>
      <c r="H24" s="151">
        <v>0.15793649000000001</v>
      </c>
      <c r="I24" s="197">
        <v>-6.5481833000000003E-4</v>
      </c>
      <c r="J24" s="197">
        <v>1.2260031E-6</v>
      </c>
      <c r="K24" s="163">
        <v>-8.5894021999999998E-10</v>
      </c>
      <c r="L24" s="197"/>
      <c r="M24" s="198"/>
      <c r="N24" s="2"/>
      <c r="O24" s="150">
        <v>449</v>
      </c>
      <c r="Q24" s="142"/>
      <c r="R24" s="143"/>
      <c r="S24" s="144"/>
      <c r="T24" s="144"/>
      <c r="U24" s="145"/>
      <c r="V24" s="145"/>
      <c r="W24" s="140"/>
      <c r="X24" s="138"/>
    </row>
    <row r="25" spans="1:24" ht="15.75" thickBot="1" x14ac:dyDescent="0.3">
      <c r="A25" s="89"/>
      <c r="B25" s="93"/>
      <c r="C25" s="41"/>
      <c r="D25" s="36"/>
      <c r="E25" s="16"/>
      <c r="F25" s="160" t="s">
        <v>57</v>
      </c>
      <c r="G25" s="199">
        <v>22.94</v>
      </c>
      <c r="H25" s="200"/>
      <c r="I25" s="200"/>
      <c r="J25" s="201"/>
      <c r="K25" s="201"/>
      <c r="L25" s="201"/>
      <c r="M25" s="202"/>
      <c r="N25" s="2"/>
      <c r="O25" s="150"/>
      <c r="Q25" s="141"/>
      <c r="R25" s="141"/>
      <c r="S25" s="141"/>
      <c r="T25" s="141"/>
      <c r="U25" s="141"/>
      <c r="V25" s="141"/>
      <c r="W25" s="141"/>
      <c r="X25" s="138"/>
    </row>
    <row r="26" spans="1:24" ht="15.75" thickBot="1" x14ac:dyDescent="0.3">
      <c r="A26" s="96" t="s">
        <v>15</v>
      </c>
      <c r="B26" s="94" t="s">
        <v>14</v>
      </c>
      <c r="C26" s="95">
        <f>C22</f>
        <v>120</v>
      </c>
      <c r="D26" s="77">
        <v>29.37</v>
      </c>
      <c r="E26" s="78">
        <f>ROUND(C26/D26,3)</f>
        <v>4.0860000000000003</v>
      </c>
      <c r="F26" s="157" t="s">
        <v>66</v>
      </c>
      <c r="G26" s="199">
        <v>29.37</v>
      </c>
      <c r="H26" s="201"/>
      <c r="I26" s="201"/>
      <c r="J26" s="201"/>
      <c r="K26" s="201"/>
      <c r="L26" s="201"/>
      <c r="M26" s="202"/>
      <c r="N26" s="2"/>
      <c r="O26" s="150">
        <v>10</v>
      </c>
    </row>
    <row r="27" spans="1:24" ht="21.75" customHeight="1" thickBot="1" x14ac:dyDescent="0.3">
      <c r="A27" s="100" t="s">
        <v>59</v>
      </c>
      <c r="B27" s="101"/>
      <c r="C27" s="102">
        <f>12/D22*G27</f>
        <v>26303.654143077714</v>
      </c>
      <c r="D27" s="102">
        <f>12/D26*I27</f>
        <v>9555.8733401430036</v>
      </c>
      <c r="E27" s="22" t="s">
        <v>16</v>
      </c>
      <c r="F27" s="23" t="s">
        <v>17</v>
      </c>
      <c r="G27" s="24">
        <v>42590</v>
      </c>
      <c r="H27" s="23" t="s">
        <v>18</v>
      </c>
      <c r="I27" s="25">
        <v>23388</v>
      </c>
      <c r="J27" s="37"/>
      <c r="K27" s="27"/>
      <c r="L27" s="27"/>
      <c r="M27" s="28"/>
      <c r="N27" s="2"/>
      <c r="O27" s="38"/>
    </row>
    <row r="28" spans="1:24" x14ac:dyDescent="0.25">
      <c r="A28" s="2"/>
      <c r="B28" s="2"/>
      <c r="C28" s="2"/>
      <c r="D28" s="2"/>
      <c r="E28" s="3"/>
      <c r="F28" s="4"/>
      <c r="G28" s="2"/>
      <c r="H28" s="2"/>
      <c r="I28" s="2"/>
      <c r="J28" s="2"/>
      <c r="K28" s="2"/>
      <c r="L28" s="2"/>
      <c r="M28" s="2"/>
      <c r="N28" s="2"/>
      <c r="O28" s="81"/>
    </row>
    <row r="29" spans="1:24" ht="20.25" customHeight="1" thickBot="1" x14ac:dyDescent="0.3">
      <c r="A29" s="8" t="s">
        <v>60</v>
      </c>
      <c r="B29" s="2"/>
      <c r="C29" s="2"/>
      <c r="D29" s="83"/>
      <c r="E29" s="84"/>
      <c r="F29" s="4"/>
      <c r="G29" s="85"/>
      <c r="H29" s="2"/>
      <c r="I29" s="2"/>
      <c r="J29" s="2"/>
      <c r="K29" s="2"/>
      <c r="L29" s="2"/>
      <c r="M29" s="2"/>
      <c r="N29" s="2"/>
      <c r="O29" s="2"/>
    </row>
    <row r="30" spans="1:24" x14ac:dyDescent="0.25">
      <c r="A30" s="92" t="s">
        <v>25</v>
      </c>
      <c r="B30" s="30" t="s">
        <v>13</v>
      </c>
      <c r="C30" s="146">
        <v>25</v>
      </c>
      <c r="D30" s="10">
        <f>ROUND(IF(C30&lt;O30,G30,IF(C30&lt;O31,G31+H31*C30+I31*C30^2+J31*C30^3+K31*C30^4+L31*C30^5+M31*C30^6,G32)),2)</f>
        <v>21.58</v>
      </c>
      <c r="E30" s="72">
        <f>ROUND(C30/D30,3)</f>
        <v>1.1579999999999999</v>
      </c>
      <c r="F30" s="155" t="s">
        <v>24</v>
      </c>
      <c r="G30" s="164">
        <v>20.12</v>
      </c>
      <c r="H30" s="195"/>
      <c r="I30" s="165"/>
      <c r="J30" s="196"/>
      <c r="K30" s="196"/>
      <c r="L30" s="196"/>
      <c r="M30" s="167"/>
      <c r="N30" s="2"/>
      <c r="O30" s="13">
        <v>20</v>
      </c>
    </row>
    <row r="31" spans="1:24" x14ac:dyDescent="0.25">
      <c r="B31" s="60"/>
      <c r="C31" s="14"/>
      <c r="D31" s="61"/>
      <c r="E31" s="86"/>
      <c r="F31" s="156" t="s">
        <v>61</v>
      </c>
      <c r="G31" s="158">
        <v>13.403600000000001</v>
      </c>
      <c r="H31" s="151">
        <v>0.37401079999999998</v>
      </c>
      <c r="I31" s="197">
        <v>-2.0053520000000002E-3</v>
      </c>
      <c r="J31" s="197">
        <v>5.5336559999999997E-6</v>
      </c>
      <c r="K31" s="163">
        <v>-7.5533290000000005E-9</v>
      </c>
      <c r="L31" s="197">
        <v>3.973393E-12</v>
      </c>
      <c r="M31" s="198"/>
      <c r="N31" s="2"/>
      <c r="O31" s="13">
        <v>201</v>
      </c>
    </row>
    <row r="32" spans="1:24" ht="15.75" thickBot="1" x14ac:dyDescent="0.3">
      <c r="B32" s="87"/>
      <c r="C32" s="18"/>
      <c r="D32" s="73"/>
      <c r="E32" s="74"/>
      <c r="F32" s="157" t="s">
        <v>62</v>
      </c>
      <c r="G32" s="173">
        <v>41.45</v>
      </c>
      <c r="H32" s="203"/>
      <c r="I32" s="203"/>
      <c r="J32" s="203"/>
      <c r="K32" s="204"/>
      <c r="L32" s="174"/>
      <c r="M32" s="178"/>
      <c r="N32" s="2"/>
      <c r="O32" s="81"/>
    </row>
    <row r="33" spans="1:15" ht="15.75" thickBot="1" x14ac:dyDescent="0.3">
      <c r="A33" s="96" t="s">
        <v>15</v>
      </c>
      <c r="B33" s="94" t="s">
        <v>14</v>
      </c>
      <c r="C33" s="95">
        <f>C30</f>
        <v>25</v>
      </c>
      <c r="D33" s="77">
        <v>29.37</v>
      </c>
      <c r="E33" s="78">
        <f>ROUND(C33/D33,3)</f>
        <v>0.85099999999999998</v>
      </c>
      <c r="F33" s="157" t="s">
        <v>58</v>
      </c>
      <c r="G33" s="205">
        <v>29.37</v>
      </c>
      <c r="H33" s="201"/>
      <c r="I33" s="201"/>
      <c r="J33" s="201"/>
      <c r="K33" s="201"/>
      <c r="L33" s="201"/>
      <c r="M33" s="202"/>
      <c r="N33" s="2"/>
      <c r="O33" s="81"/>
    </row>
    <row r="34" spans="1:15" ht="15.75" thickBot="1" x14ac:dyDescent="0.3">
      <c r="A34" s="100" t="s">
        <v>28</v>
      </c>
      <c r="B34" s="101"/>
      <c r="C34" s="102">
        <f>12/D30*G34</f>
        <v>23683.039851714551</v>
      </c>
      <c r="D34" s="105">
        <f>12/D33*I34</f>
        <v>9555.8733401430036</v>
      </c>
      <c r="E34" s="22" t="s">
        <v>16</v>
      </c>
      <c r="F34" s="23" t="s">
        <v>17</v>
      </c>
      <c r="G34" s="24">
        <v>42590</v>
      </c>
      <c r="H34" s="23" t="s">
        <v>18</v>
      </c>
      <c r="I34" s="25">
        <v>23388</v>
      </c>
      <c r="J34" s="26"/>
      <c r="K34" s="27"/>
      <c r="L34" s="27"/>
      <c r="M34" s="28"/>
      <c r="N34" s="2"/>
      <c r="O34" s="2"/>
    </row>
    <row r="35" spans="1:15" ht="20.25" customHeight="1" x14ac:dyDescent="0.25"/>
    <row r="36" spans="1:15" ht="21" customHeight="1" thickBot="1" x14ac:dyDescent="0.3">
      <c r="A36" s="8" t="s">
        <v>46</v>
      </c>
      <c r="B36" s="2"/>
      <c r="C36" s="2"/>
      <c r="D36" s="2"/>
      <c r="E36" s="3"/>
      <c r="F36" s="4"/>
      <c r="G36" s="3"/>
      <c r="H36" s="3"/>
      <c r="I36" s="3"/>
      <c r="J36" s="3"/>
      <c r="K36" s="3"/>
      <c r="L36" s="3"/>
      <c r="M36" s="2"/>
      <c r="N36" s="2"/>
      <c r="O36" s="39"/>
    </row>
    <row r="37" spans="1:15" ht="21" customHeight="1" thickBot="1" x14ac:dyDescent="0.3">
      <c r="A37" s="92" t="s">
        <v>22</v>
      </c>
      <c r="B37" s="75" t="s">
        <v>14</v>
      </c>
      <c r="C37" s="76">
        <v>43</v>
      </c>
      <c r="D37" s="77">
        <f>ROUND(G37+H37*C37+I37*C37^2+J37*C37^3+K37*C37^4+L37*C37^5,2)</f>
        <v>31.1</v>
      </c>
      <c r="E37" s="78">
        <f>ROUND(C37/D37,3)</f>
        <v>1.383</v>
      </c>
      <c r="F37" s="79"/>
      <c r="G37" s="158">
        <v>17.98856</v>
      </c>
      <c r="H37" s="151">
        <v>0.38882548</v>
      </c>
      <c r="I37" s="208">
        <v>-2.1529163E-3</v>
      </c>
      <c r="J37" s="208">
        <v>4.6763637999999998E-6</v>
      </c>
      <c r="K37" s="197"/>
      <c r="L37" s="197"/>
      <c r="M37" s="206">
        <v>0</v>
      </c>
      <c r="N37" s="2"/>
      <c r="O37" s="80"/>
    </row>
    <row r="38" spans="1:15" ht="15.75" thickBot="1" x14ac:dyDescent="0.3">
      <c r="A38" s="100" t="s">
        <v>29</v>
      </c>
      <c r="B38" s="101"/>
      <c r="C38" s="101"/>
      <c r="D38" s="102">
        <f>12/D37*I38</f>
        <v>8991.1254019292592</v>
      </c>
      <c r="E38" s="22" t="s">
        <v>16</v>
      </c>
      <c r="F38" s="23"/>
      <c r="G38" s="24"/>
      <c r="H38" s="23" t="s">
        <v>18</v>
      </c>
      <c r="I38" s="25">
        <v>23302</v>
      </c>
      <c r="J38" s="26"/>
      <c r="K38" s="27"/>
      <c r="L38" s="27"/>
      <c r="M38" s="28"/>
      <c r="N38" s="2"/>
      <c r="O38" s="81"/>
    </row>
    <row r="39" spans="1:15" x14ac:dyDescent="0.25">
      <c r="B39" s="43"/>
      <c r="C39" s="51"/>
      <c r="D39" s="43"/>
      <c r="E39" s="52"/>
      <c r="F39" s="53"/>
      <c r="G39" s="54"/>
      <c r="H39" s="53"/>
      <c r="I39" s="55"/>
      <c r="J39" s="82"/>
      <c r="K39" s="52"/>
      <c r="L39" s="52"/>
      <c r="M39" s="43"/>
      <c r="N39" s="56"/>
      <c r="O39" s="57"/>
    </row>
    <row r="41" spans="1:15" ht="27.75" customHeight="1" thickBot="1" x14ac:dyDescent="0.3">
      <c r="A41" s="8" t="s">
        <v>77</v>
      </c>
      <c r="B41" s="42"/>
      <c r="C41" s="43"/>
      <c r="D41" s="44"/>
      <c r="E41" s="45"/>
      <c r="F41" s="46"/>
      <c r="G41" s="47"/>
      <c r="H41" s="47"/>
      <c r="I41" s="47"/>
      <c r="J41" s="47"/>
      <c r="K41" s="47"/>
      <c r="L41" s="47"/>
      <c r="M41" s="47"/>
      <c r="N41" s="43"/>
      <c r="O41" s="58"/>
    </row>
    <row r="42" spans="1:15" ht="15.75" thickBot="1" x14ac:dyDescent="0.3">
      <c r="A42" s="92" t="s">
        <v>73</v>
      </c>
      <c r="B42" s="30" t="s">
        <v>14</v>
      </c>
      <c r="C42" s="31">
        <v>150</v>
      </c>
      <c r="D42" s="10">
        <f>ROUND(IF(C42&lt;O42,G42,IF(C42&lt;O43,G43+H43*C42+I43*C42^2+J43*C42^3+K43*C42^4+L43*C42^5+M43*C42^6,IF(C42&lt;O44,G44+H44*C42+I44*C42^2+J44*C42^3+K44*C42^4+L44*C42^5+M44*C42^6,G45))),2)</f>
        <v>55.8</v>
      </c>
      <c r="E42" s="11">
        <f>ROUND(C42/D42,3)</f>
        <v>2.6880000000000002</v>
      </c>
      <c r="F42" s="152" t="s">
        <v>74</v>
      </c>
      <c r="G42" s="164">
        <v>36.06</v>
      </c>
      <c r="H42" s="195"/>
      <c r="I42" s="165"/>
      <c r="J42" s="196"/>
      <c r="K42" s="196"/>
      <c r="L42" s="196"/>
      <c r="M42" s="167"/>
      <c r="N42" s="2"/>
      <c r="O42" s="150">
        <v>10</v>
      </c>
    </row>
    <row r="43" spans="1:15" x14ac:dyDescent="0.25">
      <c r="A43" s="91"/>
      <c r="B43" s="34"/>
      <c r="C43" s="35"/>
      <c r="D43" s="17"/>
      <c r="E43" s="15"/>
      <c r="F43" s="156" t="s">
        <v>86</v>
      </c>
      <c r="G43" s="226">
        <v>34.059041312985755</v>
      </c>
      <c r="H43" s="227">
        <v>0.20498185026031024</v>
      </c>
      <c r="I43" s="208">
        <v>-4.8916984416980114E-4</v>
      </c>
      <c r="J43" s="208">
        <v>6.3712008552783972E-7</v>
      </c>
      <c r="K43" s="208">
        <v>-3.0076929253506366E-10</v>
      </c>
      <c r="L43" s="197"/>
      <c r="M43" s="198"/>
      <c r="N43" s="2"/>
      <c r="O43" s="150">
        <v>387</v>
      </c>
    </row>
    <row r="44" spans="1:15" x14ac:dyDescent="0.25">
      <c r="A44" s="88"/>
      <c r="B44" s="34"/>
      <c r="C44" s="35"/>
      <c r="D44" s="17"/>
      <c r="E44" s="15"/>
      <c r="F44" s="159" t="s">
        <v>87</v>
      </c>
      <c r="G44" s="226">
        <v>43.055728120263666</v>
      </c>
      <c r="H44" s="227">
        <v>0.11398644926975976</v>
      </c>
      <c r="I44" s="208">
        <v>-1.4730105782945202E-4</v>
      </c>
      <c r="J44" s="208">
        <v>9.8623166281189278E-8</v>
      </c>
      <c r="K44" s="208">
        <v>-2.5210163347944096E-11</v>
      </c>
      <c r="L44" s="197"/>
      <c r="M44" s="198"/>
      <c r="N44" s="2"/>
      <c r="O44" s="150">
        <v>1400</v>
      </c>
    </row>
    <row r="45" spans="1:15" ht="15.75" thickBot="1" x14ac:dyDescent="0.3">
      <c r="A45" s="89"/>
      <c r="B45" s="93"/>
      <c r="C45" s="41"/>
      <c r="D45" s="36"/>
      <c r="E45" s="16"/>
      <c r="F45" s="160" t="s">
        <v>90</v>
      </c>
      <c r="G45" s="199">
        <v>87.7</v>
      </c>
      <c r="H45" s="200"/>
      <c r="I45" s="200"/>
      <c r="J45" s="201"/>
      <c r="K45" s="201"/>
      <c r="L45" s="201"/>
      <c r="M45" s="202"/>
      <c r="N45" s="2"/>
      <c r="O45" s="150"/>
    </row>
    <row r="46" spans="1:15" ht="15.75" thickBot="1" x14ac:dyDescent="0.3">
      <c r="A46" s="100" t="s">
        <v>29</v>
      </c>
      <c r="B46" s="101"/>
      <c r="C46" s="102"/>
      <c r="D46" s="102">
        <f>12/D42*I46</f>
        <v>5011.1827956989246</v>
      </c>
      <c r="E46" s="22" t="s">
        <v>16</v>
      </c>
      <c r="F46" s="23"/>
      <c r="G46" s="24"/>
      <c r="H46" s="23" t="s">
        <v>18</v>
      </c>
      <c r="I46" s="25">
        <v>23302</v>
      </c>
      <c r="J46" s="37"/>
      <c r="K46" s="27"/>
      <c r="L46" s="27"/>
      <c r="M46" s="28"/>
      <c r="N46" s="2"/>
      <c r="O46" s="38"/>
    </row>
    <row r="48" spans="1:15" ht="16.5" thickBot="1" x14ac:dyDescent="0.3">
      <c r="A48" s="8" t="s">
        <v>76</v>
      </c>
      <c r="B48" s="42"/>
      <c r="C48" s="43"/>
      <c r="D48" s="44"/>
      <c r="E48" s="45"/>
      <c r="F48" s="46"/>
      <c r="G48" s="47"/>
      <c r="H48" s="47"/>
      <c r="I48" s="47"/>
      <c r="J48" s="47"/>
      <c r="K48" s="47"/>
      <c r="L48" s="47"/>
      <c r="M48" s="47"/>
      <c r="N48" s="43"/>
      <c r="O48" s="58"/>
    </row>
    <row r="49" spans="1:15" ht="15.75" thickBot="1" x14ac:dyDescent="0.3">
      <c r="A49" s="92" t="s">
        <v>75</v>
      </c>
      <c r="B49" s="30" t="s">
        <v>14</v>
      </c>
      <c r="C49" s="31">
        <v>350</v>
      </c>
      <c r="D49" s="10">
        <f>ROUND(IF(C49&lt;O49,G49,IF(C49&lt;O50,G50+H50*C49+I50*C49^2+J50*C49^3+K50*C49^4+L50*C49^5+M50*C49^6,IF(C49&lt;O51,G51+H51*C49+I51*C49^2+J51*C49^3+K51*C49^4+L51*C49^5+M51*C49^6,G52))),2)</f>
        <v>71.430000000000007</v>
      </c>
      <c r="E49" s="11">
        <f>ROUND(C49/D49,2)</f>
        <v>4.9000000000000004</v>
      </c>
      <c r="F49" s="152" t="s">
        <v>74</v>
      </c>
      <c r="G49" s="164">
        <v>37.5</v>
      </c>
      <c r="H49" s="195"/>
      <c r="I49" s="165"/>
      <c r="J49" s="196"/>
      <c r="K49" s="196"/>
      <c r="L49" s="196"/>
      <c r="M49" s="167"/>
      <c r="N49" s="2"/>
      <c r="O49" s="150">
        <v>10</v>
      </c>
    </row>
    <row r="50" spans="1:15" x14ac:dyDescent="0.25">
      <c r="A50" s="91"/>
      <c r="B50" s="34"/>
      <c r="C50" s="35"/>
      <c r="D50" s="17"/>
      <c r="E50" s="15"/>
      <c r="F50" s="156" t="s">
        <v>86</v>
      </c>
      <c r="G50" s="226">
        <v>35.421402965505187</v>
      </c>
      <c r="H50" s="227">
        <v>0.21318112427072267</v>
      </c>
      <c r="I50" s="208">
        <v>-5.0873663793659317E-4</v>
      </c>
      <c r="J50" s="208">
        <v>6.6260488894895331E-7</v>
      </c>
      <c r="K50" s="208">
        <v>-3.1280006423646621E-10</v>
      </c>
      <c r="L50" s="197"/>
      <c r="M50" s="198"/>
      <c r="N50" s="2"/>
      <c r="O50" s="150">
        <v>387</v>
      </c>
    </row>
    <row r="51" spans="1:15" x14ac:dyDescent="0.25">
      <c r="A51" s="88"/>
      <c r="B51" s="34"/>
      <c r="C51" s="35"/>
      <c r="D51" s="17"/>
      <c r="E51" s="15"/>
      <c r="F51" s="159" t="s">
        <v>88</v>
      </c>
      <c r="G51" s="226">
        <v>44.777957245074212</v>
      </c>
      <c r="H51" s="227">
        <v>0.11854590724055016</v>
      </c>
      <c r="I51" s="208">
        <v>-1.5319310014263012E-4</v>
      </c>
      <c r="J51" s="208">
        <v>1.0256809293243686E-7</v>
      </c>
      <c r="K51" s="208">
        <v>-2.6218569881861861E-11</v>
      </c>
      <c r="L51" s="197"/>
      <c r="M51" s="198"/>
      <c r="N51" s="2"/>
      <c r="O51" s="150">
        <v>1470</v>
      </c>
    </row>
    <row r="52" spans="1:15" ht="15.75" thickBot="1" x14ac:dyDescent="0.3">
      <c r="A52" s="89"/>
      <c r="B52" s="93"/>
      <c r="C52" s="41"/>
      <c r="D52" s="36"/>
      <c r="E52" s="16"/>
      <c r="F52" s="160" t="s">
        <v>89</v>
      </c>
      <c r="G52" s="199">
        <v>91.39</v>
      </c>
      <c r="H52" s="200"/>
      <c r="I52" s="200"/>
      <c r="J52" s="201"/>
      <c r="K52" s="201"/>
      <c r="L52" s="201"/>
      <c r="M52" s="202"/>
      <c r="N52" s="2"/>
      <c r="O52" s="150"/>
    </row>
    <row r="53" spans="1:15" ht="15.75" thickBot="1" x14ac:dyDescent="0.3">
      <c r="A53" s="100" t="s">
        <v>29</v>
      </c>
      <c r="B53" s="101"/>
      <c r="C53" s="102"/>
      <c r="D53" s="102">
        <f>12/D49*I53</f>
        <v>3914.6577068458628</v>
      </c>
      <c r="E53" s="22" t="s">
        <v>16</v>
      </c>
      <c r="F53" s="23"/>
      <c r="G53" s="24"/>
      <c r="H53" s="23" t="s">
        <v>18</v>
      </c>
      <c r="I53" s="25">
        <v>23302</v>
      </c>
      <c r="J53" s="37"/>
      <c r="K53" s="27"/>
      <c r="L53" s="27"/>
      <c r="M53" s="28"/>
      <c r="N53" s="2"/>
      <c r="O53" s="38"/>
    </row>
  </sheetData>
  <sheetProtection sheet="1" objects="1" scenarios="1"/>
  <pageMargins left="0.7" right="0.7" top="0.52" bottom="0.5500000000000000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9"/>
  <sheetViews>
    <sheetView zoomScale="110" zoomScaleNormal="110" workbookViewId="0">
      <selection activeCell="E11" sqref="E11"/>
    </sheetView>
  </sheetViews>
  <sheetFormatPr defaultRowHeight="15" x14ac:dyDescent="0.25"/>
  <cols>
    <col min="1" max="1" width="19" customWidth="1"/>
    <col min="2" max="2" width="7.5703125" customWidth="1"/>
    <col min="3" max="3" width="9.5703125" customWidth="1"/>
    <col min="5" max="5" width="11.140625" customWidth="1"/>
    <col min="7" max="7" width="10.7109375" customWidth="1"/>
    <col min="9" max="9" width="12.7109375" customWidth="1"/>
    <col min="10" max="10" width="11.5703125" customWidth="1"/>
    <col min="11" max="11" width="13.5703125" customWidth="1"/>
  </cols>
  <sheetData>
    <row r="1" spans="1:7" ht="18.75" x14ac:dyDescent="0.3">
      <c r="A1" s="132" t="s">
        <v>47</v>
      </c>
    </row>
    <row r="2" spans="1:7" ht="18.75" x14ac:dyDescent="0.3">
      <c r="A2" s="132"/>
    </row>
    <row r="3" spans="1:7" ht="15.75" thickBot="1" x14ac:dyDescent="0.3">
      <c r="A3" s="134" t="s">
        <v>48</v>
      </c>
      <c r="G3" t="s">
        <v>50</v>
      </c>
    </row>
    <row r="4" spans="1:7" ht="15.75" thickBot="1" x14ac:dyDescent="0.3">
      <c r="A4" s="134" t="s">
        <v>49</v>
      </c>
      <c r="C4" s="120" t="s">
        <v>36</v>
      </c>
      <c r="D4" s="121" t="s">
        <v>14</v>
      </c>
      <c r="E4" s="122" t="s">
        <v>38</v>
      </c>
      <c r="F4" s="119" t="s">
        <v>39</v>
      </c>
      <c r="G4" t="s">
        <v>51</v>
      </c>
    </row>
    <row r="5" spans="1:7" x14ac:dyDescent="0.25">
      <c r="A5" s="133" t="s">
        <v>31</v>
      </c>
      <c r="C5" s="126">
        <v>47</v>
      </c>
      <c r="D5" s="123">
        <f>IF(C5=0,"",D21)</f>
        <v>32.21</v>
      </c>
      <c r="E5" s="229">
        <f>IF(D5&lt;&gt;"",ROUND(C5/D5,3),"")</f>
        <v>1.4590000000000001</v>
      </c>
      <c r="F5">
        <v>23302</v>
      </c>
      <c r="G5" s="219">
        <f>IF(D5&lt;&gt;"",ROUND(E5*0.012*F5,3),0)</f>
        <v>407.971</v>
      </c>
    </row>
    <row r="6" spans="1:7" x14ac:dyDescent="0.25">
      <c r="A6" s="133" t="s">
        <v>32</v>
      </c>
      <c r="C6" s="127">
        <v>156</v>
      </c>
      <c r="D6" s="123">
        <f>IF(C6=0,"",D$25)</f>
        <v>68.55</v>
      </c>
      <c r="E6" s="230">
        <f>IF(D6&lt;&gt;"",ROUND(C6/D6,3),"")</f>
        <v>2.2759999999999998</v>
      </c>
      <c r="F6">
        <v>23302</v>
      </c>
      <c r="G6" s="220">
        <f t="shared" ref="G6:G14" si="0">IF(D6&lt;&gt;"",ROUND(E6*0.012*F6,3),0)</f>
        <v>636.42399999999998</v>
      </c>
    </row>
    <row r="7" spans="1:7" x14ac:dyDescent="0.25">
      <c r="A7" s="133" t="s">
        <v>33</v>
      </c>
      <c r="C7" s="127">
        <v>62</v>
      </c>
      <c r="D7" s="123">
        <f>IF(C7=0,"",D$31)</f>
        <v>71.290000000000006</v>
      </c>
      <c r="E7" s="230">
        <f t="shared" ref="E7:E14" si="1">IF(D7&lt;&gt;"",ROUND(C7/D7,3),"")</f>
        <v>0.87</v>
      </c>
      <c r="F7">
        <v>23302</v>
      </c>
      <c r="G7" s="220">
        <f t="shared" si="0"/>
        <v>243.273</v>
      </c>
    </row>
    <row r="8" spans="1:7" x14ac:dyDescent="0.25">
      <c r="A8" s="133" t="s">
        <v>40</v>
      </c>
      <c r="C8" s="127">
        <v>1</v>
      </c>
      <c r="D8" s="123">
        <f>IF(C8+C9=0,"",D38)</f>
        <v>30.3</v>
      </c>
      <c r="E8" s="230">
        <f t="shared" si="1"/>
        <v>3.3000000000000002E-2</v>
      </c>
      <c r="F8">
        <v>23603</v>
      </c>
      <c r="G8" s="220">
        <f t="shared" si="0"/>
        <v>9.3469999999999995</v>
      </c>
    </row>
    <row r="9" spans="1:7" x14ac:dyDescent="0.25">
      <c r="A9" s="133" t="s">
        <v>41</v>
      </c>
      <c r="C9" s="127">
        <f>35+46</f>
        <v>81</v>
      </c>
      <c r="D9" s="123">
        <f>IF(C8+C9=0,"",D38)</f>
        <v>30.3</v>
      </c>
      <c r="E9" s="230">
        <f t="shared" si="1"/>
        <v>2.673</v>
      </c>
      <c r="F9">
        <v>23603</v>
      </c>
      <c r="G9" s="220">
        <f t="shared" si="0"/>
        <v>757.09</v>
      </c>
    </row>
    <row r="10" spans="1:7" x14ac:dyDescent="0.25">
      <c r="A10" s="133" t="s">
        <v>42</v>
      </c>
      <c r="C10" s="127"/>
      <c r="D10" s="123" t="str">
        <f>IF(C10+C11=0,"",D44)</f>
        <v/>
      </c>
      <c r="E10" s="230" t="str">
        <f t="shared" si="1"/>
        <v/>
      </c>
      <c r="F10">
        <v>23603</v>
      </c>
      <c r="G10" s="220">
        <f t="shared" si="0"/>
        <v>0</v>
      </c>
    </row>
    <row r="11" spans="1:7" x14ac:dyDescent="0.25">
      <c r="A11" s="133" t="s">
        <v>43</v>
      </c>
      <c r="C11" s="127"/>
      <c r="D11" s="123" t="str">
        <f>IF(C10+C11=0,"",D44)</f>
        <v/>
      </c>
      <c r="E11" s="230" t="str">
        <f t="shared" si="1"/>
        <v/>
      </c>
      <c r="F11">
        <v>23603</v>
      </c>
      <c r="G11" s="220">
        <f t="shared" si="0"/>
        <v>0</v>
      </c>
    </row>
    <row r="12" spans="1:7" x14ac:dyDescent="0.25">
      <c r="A12" s="133" t="s">
        <v>45</v>
      </c>
      <c r="C12" s="127"/>
      <c r="D12" s="123" t="str">
        <f>IF(C12=0,"",D$21/0.67)</f>
        <v/>
      </c>
      <c r="E12" s="230" t="str">
        <f t="shared" si="1"/>
        <v/>
      </c>
      <c r="F12">
        <v>23302</v>
      </c>
      <c r="G12" s="220">
        <f t="shared" si="0"/>
        <v>0</v>
      </c>
    </row>
    <row r="13" spans="1:7" x14ac:dyDescent="0.25">
      <c r="A13" s="133" t="s">
        <v>81</v>
      </c>
      <c r="C13" s="127"/>
      <c r="D13" s="123" t="str">
        <f>IF(C13=0,"",D$25/0.7)</f>
        <v/>
      </c>
      <c r="E13" s="230" t="str">
        <f t="shared" si="1"/>
        <v/>
      </c>
      <c r="F13">
        <v>23302</v>
      </c>
      <c r="G13" s="220">
        <f t="shared" ref="G13" si="2">IF(D13&lt;&gt;"",ROUND(E13*0.012*F13,3),0)</f>
        <v>0</v>
      </c>
    </row>
    <row r="14" spans="1:7" ht="15.75" thickBot="1" x14ac:dyDescent="0.3">
      <c r="A14" s="133" t="s">
        <v>82</v>
      </c>
      <c r="C14" s="128"/>
      <c r="D14" s="123" t="str">
        <f>IF(C14=0,"",D$31/0.7)</f>
        <v/>
      </c>
      <c r="E14" s="231" t="str">
        <f t="shared" si="1"/>
        <v/>
      </c>
      <c r="F14">
        <v>23302</v>
      </c>
      <c r="G14" s="221">
        <f t="shared" si="0"/>
        <v>0</v>
      </c>
    </row>
    <row r="15" spans="1:7" x14ac:dyDescent="0.25">
      <c r="A15" s="92" t="s">
        <v>44</v>
      </c>
      <c r="B15" s="92"/>
      <c r="C15" s="92"/>
      <c r="D15" s="135"/>
      <c r="E15" s="232">
        <f>SUM(E5:E14)</f>
        <v>7.3109999999999999</v>
      </c>
      <c r="F15" s="92"/>
      <c r="G15" s="222">
        <f>SUM(G5:G14)</f>
        <v>2054.105</v>
      </c>
    </row>
    <row r="16" spans="1:7" x14ac:dyDescent="0.25">
      <c r="A16" s="129" t="s">
        <v>52</v>
      </c>
    </row>
    <row r="17" spans="1:16" ht="15.75" thickBot="1" x14ac:dyDescent="0.3"/>
    <row r="18" spans="1:16" ht="25.5" x14ac:dyDescent="0.25">
      <c r="A18" s="97" t="s">
        <v>26</v>
      </c>
      <c r="B18" s="98" t="s">
        <v>30</v>
      </c>
      <c r="C18" s="99" t="s">
        <v>1</v>
      </c>
      <c r="D18" s="107" t="s">
        <v>37</v>
      </c>
      <c r="E18" s="108" t="s">
        <v>3</v>
      </c>
      <c r="F18" s="106" t="s">
        <v>4</v>
      </c>
      <c r="G18" s="109" t="s">
        <v>5</v>
      </c>
      <c r="H18" s="110" t="s">
        <v>6</v>
      </c>
      <c r="I18" s="110" t="s">
        <v>7</v>
      </c>
      <c r="J18" s="110" t="s">
        <v>8</v>
      </c>
      <c r="K18" s="110" t="s">
        <v>9</v>
      </c>
      <c r="L18" s="110" t="s">
        <v>10</v>
      </c>
      <c r="M18" s="110" t="s">
        <v>11</v>
      </c>
      <c r="N18" s="6"/>
      <c r="O18" s="7" t="s">
        <v>12</v>
      </c>
    </row>
    <row r="20" spans="1:16" ht="16.5" thickBot="1" x14ac:dyDescent="0.3">
      <c r="A20" s="111" t="s">
        <v>21</v>
      </c>
      <c r="B20" s="2"/>
      <c r="C20" s="2"/>
      <c r="D20" s="2"/>
      <c r="E20" s="3"/>
      <c r="F20" s="4"/>
      <c r="G20" s="3"/>
      <c r="H20" s="3"/>
      <c r="I20" s="3"/>
      <c r="J20" s="3"/>
      <c r="K20" s="3"/>
      <c r="L20" s="3"/>
      <c r="M20" s="2"/>
      <c r="O20" s="39"/>
    </row>
    <row r="21" spans="1:16" ht="15.75" thickBot="1" x14ac:dyDescent="0.3">
      <c r="A21" s="112" t="s">
        <v>35</v>
      </c>
      <c r="B21" s="113" t="s">
        <v>14</v>
      </c>
      <c r="C21" s="131">
        <f>C5+C8+C10+C12*0.67</f>
        <v>48</v>
      </c>
      <c r="D21" s="125">
        <f>ROUND(G21+H21*C21+I21*C21^2+J21*C21^3+K21*C21^4+L21*C21^5,2)</f>
        <v>32.21</v>
      </c>
      <c r="E21" s="124"/>
      <c r="F21" s="29"/>
      <c r="G21" s="114">
        <v>17.98856</v>
      </c>
      <c r="H21" s="115">
        <v>0.38882548</v>
      </c>
      <c r="I21" s="116">
        <v>-2.1529163E-3</v>
      </c>
      <c r="J21" s="136">
        <v>4.6763637999999998E-6</v>
      </c>
      <c r="K21" s="117"/>
      <c r="L21" s="117"/>
      <c r="M21" s="118">
        <v>0</v>
      </c>
      <c r="O21" s="80"/>
    </row>
    <row r="22" spans="1:16" ht="15.75" thickBot="1" x14ac:dyDescent="0.3">
      <c r="A22" s="100" t="s">
        <v>29</v>
      </c>
      <c r="B22" s="101"/>
      <c r="C22" s="101"/>
      <c r="D22" s="102">
        <f>12/D21*I22</f>
        <v>8681.2791058677431</v>
      </c>
      <c r="E22" s="22" t="s">
        <v>16</v>
      </c>
      <c r="F22" s="23"/>
      <c r="G22" s="24"/>
      <c r="H22" s="23" t="s">
        <v>18</v>
      </c>
      <c r="I22" s="25">
        <v>23302</v>
      </c>
      <c r="J22" s="26"/>
      <c r="K22" s="27"/>
      <c r="L22" s="27"/>
      <c r="M22" s="28"/>
      <c r="O22" s="81"/>
    </row>
    <row r="23" spans="1:1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6.5" thickBot="1" x14ac:dyDescent="0.3">
      <c r="A24" s="8" t="s">
        <v>79</v>
      </c>
      <c r="B24" s="42"/>
      <c r="C24" s="43"/>
      <c r="D24" s="44"/>
      <c r="E24" s="45"/>
      <c r="F24" s="46"/>
      <c r="G24" s="47"/>
      <c r="H24" s="47"/>
      <c r="I24" s="47"/>
      <c r="J24" s="47"/>
      <c r="K24" s="47"/>
      <c r="L24" s="47"/>
      <c r="M24" s="47"/>
    </row>
    <row r="25" spans="1:16" x14ac:dyDescent="0.25">
      <c r="A25" s="92" t="s">
        <v>78</v>
      </c>
      <c r="B25" s="71" t="s">
        <v>14</v>
      </c>
      <c r="C25" s="130">
        <f>C5+C6+C7+C8+C9+C10+C11+0.67*C12+0.7*C13+0.7*C14</f>
        <v>347</v>
      </c>
      <c r="D25" s="10">
        <f>ROUND(IF(C25&lt;O25,G25,IF(C25&lt;O26,G26+H26*C25+I26*C25^2+J26*C25^3+K26*C25^4+L26*C25^5+M26*C25^6,IF(C25&lt;O27,G27+H27*C25+I27*C25^2+J27*C25^3+K27*C25^4+L27*C25^5+M27*C25^6,G28))),2)</f>
        <v>68.55</v>
      </c>
      <c r="E25" s="11">
        <f>ROUND(C25/D25,2)</f>
        <v>5.0599999999999996</v>
      </c>
      <c r="F25" s="152" t="s">
        <v>74</v>
      </c>
      <c r="G25" s="164">
        <v>36.06</v>
      </c>
      <c r="H25" s="195"/>
      <c r="I25" s="165"/>
      <c r="J25" s="196"/>
      <c r="K25" s="196"/>
      <c r="L25" s="196"/>
      <c r="M25" s="167"/>
      <c r="N25" s="2"/>
      <c r="O25" s="150">
        <v>10</v>
      </c>
    </row>
    <row r="26" spans="1:16" x14ac:dyDescent="0.25">
      <c r="A26" s="91"/>
      <c r="B26" s="34"/>
      <c r="C26" s="35"/>
      <c r="D26" s="17"/>
      <c r="E26" s="15"/>
      <c r="F26" s="156" t="s">
        <v>86</v>
      </c>
      <c r="G26" s="158">
        <v>34.059041312985755</v>
      </c>
      <c r="H26" s="151">
        <v>0.20498185026031024</v>
      </c>
      <c r="I26" s="208">
        <v>-4.8916984416980114E-4</v>
      </c>
      <c r="J26" s="208">
        <v>6.3712008552783972E-7</v>
      </c>
      <c r="K26" s="197">
        <v>-3.0076929253506366E-10</v>
      </c>
      <c r="L26" s="197"/>
      <c r="M26" s="198"/>
      <c r="N26" s="2"/>
      <c r="O26" s="150">
        <v>387</v>
      </c>
    </row>
    <row r="27" spans="1:16" x14ac:dyDescent="0.25">
      <c r="A27" s="88"/>
      <c r="B27" s="34"/>
      <c r="C27" s="35"/>
      <c r="D27" s="17"/>
      <c r="E27" s="15"/>
      <c r="F27" s="159" t="s">
        <v>87</v>
      </c>
      <c r="G27" s="158">
        <v>43.055728120263666</v>
      </c>
      <c r="H27" s="151">
        <v>0.11398644926975976</v>
      </c>
      <c r="I27" s="208">
        <v>-1.4730105782945202E-4</v>
      </c>
      <c r="J27" s="208">
        <v>9.8623166281189278E-8</v>
      </c>
      <c r="K27" s="208">
        <v>-2.5210163347944096E-11</v>
      </c>
      <c r="L27" s="197"/>
      <c r="M27" s="198"/>
      <c r="N27" s="2"/>
      <c r="O27" s="150">
        <v>1400</v>
      </c>
    </row>
    <row r="28" spans="1:16" ht="15.75" thickBot="1" x14ac:dyDescent="0.3">
      <c r="A28" s="89"/>
      <c r="B28" s="93"/>
      <c r="C28" s="41"/>
      <c r="D28" s="36"/>
      <c r="E28" s="16"/>
      <c r="F28" s="160" t="s">
        <v>90</v>
      </c>
      <c r="G28" s="199">
        <v>87.7</v>
      </c>
      <c r="H28" s="200"/>
      <c r="I28" s="200"/>
      <c r="J28" s="201"/>
      <c r="K28" s="201"/>
      <c r="L28" s="201"/>
      <c r="M28" s="202"/>
      <c r="N28" s="2"/>
      <c r="O28" s="150"/>
    </row>
    <row r="29" spans="1:16" ht="15.75" thickBot="1" x14ac:dyDescent="0.3">
      <c r="A29" s="100" t="s">
        <v>29</v>
      </c>
      <c r="B29" s="101"/>
      <c r="C29" s="101"/>
      <c r="D29" s="102">
        <f>12/D25*I29</f>
        <v>4079.1247264770241</v>
      </c>
      <c r="E29" s="22" t="s">
        <v>16</v>
      </c>
      <c r="F29" s="23"/>
      <c r="G29" s="24"/>
      <c r="H29" s="23" t="s">
        <v>18</v>
      </c>
      <c r="I29" s="25">
        <v>23302</v>
      </c>
      <c r="J29" s="37"/>
      <c r="K29" s="27"/>
      <c r="L29" s="27"/>
      <c r="M29" s="28"/>
      <c r="N29" s="2"/>
      <c r="O29" s="38"/>
    </row>
    <row r="30" spans="1:16" ht="16.5" thickBot="1" x14ac:dyDescent="0.3">
      <c r="A30" s="8" t="s">
        <v>80</v>
      </c>
      <c r="B30" s="42"/>
      <c r="C30" s="43"/>
      <c r="D30" s="211"/>
      <c r="E30" s="212"/>
      <c r="F30" s="213"/>
      <c r="G30" s="214"/>
      <c r="H30" s="213"/>
      <c r="I30" s="215"/>
      <c r="J30" s="216"/>
      <c r="K30" s="217"/>
      <c r="L30" s="217"/>
      <c r="M30" s="212"/>
      <c r="O30" s="81"/>
    </row>
    <row r="31" spans="1:16" ht="15.75" thickBot="1" x14ac:dyDescent="0.3">
      <c r="A31" s="92" t="s">
        <v>75</v>
      </c>
      <c r="B31" s="30" t="s">
        <v>14</v>
      </c>
      <c r="C31" s="223">
        <f>C5+C6+C7+C8+C9+C10+C11+0.67*C12+0.7*C13+0.7*C14</f>
        <v>347</v>
      </c>
      <c r="D31" s="10">
        <f>ROUND(IF(C31&lt;O31,G31,IF(C31&lt;O32,G32+H32*C31+I32*C31^2+J32*C31^3+K32*C31^4+L32*C31^5+M32*C31^6,IF(C31&lt;O33,G33+H33*C31+I33*C31^2+J33*C31^3+K33*C31^4+L33*C31^5+M33*C31^6,G34))),2)</f>
        <v>71.290000000000006</v>
      </c>
      <c r="E31" s="11">
        <f>ROUND(C31/D31,2)</f>
        <v>4.87</v>
      </c>
      <c r="F31" s="152" t="s">
        <v>74</v>
      </c>
      <c r="G31" s="164">
        <v>37.5</v>
      </c>
      <c r="H31" s="195"/>
      <c r="I31" s="165"/>
      <c r="J31" s="196"/>
      <c r="K31" s="196"/>
      <c r="L31" s="196"/>
      <c r="M31" s="167"/>
      <c r="N31" s="2"/>
      <c r="O31" s="150">
        <v>10</v>
      </c>
    </row>
    <row r="32" spans="1:16" x14ac:dyDescent="0.25">
      <c r="A32" s="91"/>
      <c r="B32" s="34"/>
      <c r="C32" s="35"/>
      <c r="D32" s="17"/>
      <c r="E32" s="15"/>
      <c r="F32" s="156" t="s">
        <v>86</v>
      </c>
      <c r="G32" s="158">
        <v>35.421402965505187</v>
      </c>
      <c r="H32" s="151">
        <v>0.21318112427072267</v>
      </c>
      <c r="I32" s="208">
        <v>-5.0873663793659317E-4</v>
      </c>
      <c r="J32" s="208">
        <v>6.6260488894895331E-7</v>
      </c>
      <c r="K32" s="197">
        <v>-3.1280006423646621E-10</v>
      </c>
      <c r="L32" s="197"/>
      <c r="M32" s="198"/>
      <c r="N32" s="2"/>
      <c r="O32" s="150">
        <v>387</v>
      </c>
    </row>
    <row r="33" spans="1:16" x14ac:dyDescent="0.25">
      <c r="A33" s="88"/>
      <c r="B33" s="34"/>
      <c r="C33" s="35"/>
      <c r="D33" s="17"/>
      <c r="E33" s="15"/>
      <c r="F33" s="159" t="s">
        <v>88</v>
      </c>
      <c r="G33" s="158">
        <v>44.777957245074212</v>
      </c>
      <c r="H33" s="151">
        <v>0.11854590724055016</v>
      </c>
      <c r="I33" s="208">
        <v>-1.5319310014263012E-4</v>
      </c>
      <c r="J33" s="208">
        <v>1.0256809293243686E-7</v>
      </c>
      <c r="K33" s="208">
        <v>-2.6218569881861861E-11</v>
      </c>
      <c r="L33" s="197"/>
      <c r="M33" s="198"/>
      <c r="N33" s="2"/>
      <c r="O33" s="150">
        <v>1470</v>
      </c>
    </row>
    <row r="34" spans="1:16" ht="15.75" thickBot="1" x14ac:dyDescent="0.3">
      <c r="A34" s="89"/>
      <c r="B34" s="93"/>
      <c r="C34" s="41"/>
      <c r="D34" s="36"/>
      <c r="E34" s="16"/>
      <c r="F34" s="160" t="s">
        <v>89</v>
      </c>
      <c r="G34" s="199">
        <v>91.39</v>
      </c>
      <c r="H34" s="200"/>
      <c r="I34" s="200"/>
      <c r="J34" s="201"/>
      <c r="K34" s="201"/>
      <c r="L34" s="201"/>
      <c r="M34" s="202"/>
      <c r="N34" s="2"/>
      <c r="O34" s="150"/>
    </row>
    <row r="35" spans="1:16" ht="15.75" thickBot="1" x14ac:dyDescent="0.3">
      <c r="A35" s="100" t="s">
        <v>29</v>
      </c>
      <c r="B35" s="101"/>
      <c r="C35" s="102"/>
      <c r="D35" s="102">
        <f>12/D31*I35</f>
        <v>3922.3453499789589</v>
      </c>
      <c r="E35" s="22" t="s">
        <v>16</v>
      </c>
      <c r="F35" s="23"/>
      <c r="G35" s="24"/>
      <c r="H35" s="23" t="s">
        <v>18</v>
      </c>
      <c r="I35" s="25">
        <v>23302</v>
      </c>
      <c r="J35" s="37"/>
      <c r="K35" s="27"/>
      <c r="L35" s="27"/>
      <c r="M35" s="28"/>
      <c r="N35" s="2"/>
      <c r="O35" s="38"/>
    </row>
    <row r="36" spans="1:16" ht="15.75" thickBot="1" x14ac:dyDescent="0.3">
      <c r="A36" s="209"/>
      <c r="B36" s="210"/>
      <c r="C36" s="210"/>
      <c r="D36" s="211"/>
      <c r="E36" s="212"/>
      <c r="F36" s="213"/>
      <c r="G36" s="214"/>
      <c r="H36" s="213"/>
      <c r="I36" s="215"/>
      <c r="J36" s="216"/>
      <c r="K36" s="217"/>
      <c r="L36" s="217"/>
      <c r="M36" s="212"/>
      <c r="O36" s="81"/>
    </row>
    <row r="37" spans="1:16" ht="16.5" thickBot="1" x14ac:dyDescent="0.3">
      <c r="A37" s="8" t="s">
        <v>54</v>
      </c>
      <c r="B37" s="42"/>
      <c r="C37" s="43"/>
      <c r="D37" s="44"/>
      <c r="E37" s="45"/>
      <c r="F37" s="46"/>
      <c r="G37" s="47"/>
      <c r="H37" s="47"/>
      <c r="I37" s="47"/>
      <c r="J37" s="47"/>
      <c r="K37" s="47"/>
      <c r="L37" s="47"/>
      <c r="M37" s="47"/>
      <c r="N37" s="2"/>
      <c r="O37" s="2"/>
      <c r="P37" s="2"/>
    </row>
    <row r="38" spans="1:16" ht="15.75" thickBot="1" x14ac:dyDescent="0.3">
      <c r="A38" s="147" t="s">
        <v>34</v>
      </c>
      <c r="B38" s="30" t="s">
        <v>14</v>
      </c>
      <c r="C38" s="228">
        <f>C8+C9+C10+C11</f>
        <v>82</v>
      </c>
      <c r="D38" s="10">
        <f>ROUND(IF(C38&lt;O38,G38,IF(C38&lt;O39,G39+H39*C38+I39*C38^2+J39*C38^3+K39*C38^4+L39*C38^5+M39*C38^6,G40)),2)</f>
        <v>30.3</v>
      </c>
      <c r="E38" s="11">
        <f>ROUND(C38/D38,2)</f>
        <v>2.71</v>
      </c>
      <c r="F38" s="32" t="s">
        <v>20</v>
      </c>
      <c r="G38" s="59">
        <v>26.07</v>
      </c>
      <c r="H38" s="12"/>
      <c r="I38" s="12"/>
      <c r="J38" s="48"/>
      <c r="K38" s="48"/>
      <c r="L38" s="48"/>
      <c r="M38" s="33"/>
      <c r="N38" s="2"/>
      <c r="O38" s="13">
        <v>10</v>
      </c>
      <c r="P38" s="2"/>
    </row>
    <row r="39" spans="1:16" x14ac:dyDescent="0.25">
      <c r="A39" s="148"/>
      <c r="B39" s="60"/>
      <c r="C39" s="35"/>
      <c r="D39" s="61"/>
      <c r="E39" s="15"/>
      <c r="F39" s="49" t="s">
        <v>83</v>
      </c>
      <c r="G39" s="218">
        <v>25.463147511812</v>
      </c>
      <c r="H39" s="151">
        <v>6.1090288780164322E-2</v>
      </c>
      <c r="I39" s="208">
        <v>3.5907693846426451E-6</v>
      </c>
      <c r="J39" s="197">
        <v>-3.4814468650188952E-7</v>
      </c>
      <c r="K39" s="197"/>
      <c r="L39" s="197"/>
      <c r="M39" s="64"/>
      <c r="N39" s="2"/>
      <c r="O39" s="13">
        <v>245</v>
      </c>
      <c r="P39" s="2"/>
    </row>
    <row r="40" spans="1:16" ht="15.75" thickBot="1" x14ac:dyDescent="0.3">
      <c r="A40" s="149"/>
      <c r="B40" s="40"/>
      <c r="C40" s="41"/>
      <c r="D40" s="19"/>
      <c r="E40" s="20"/>
      <c r="F40" s="65" t="s">
        <v>84</v>
      </c>
      <c r="G40" s="66">
        <v>35.53</v>
      </c>
      <c r="H40" s="21"/>
      <c r="I40" s="67"/>
      <c r="J40" s="68"/>
      <c r="K40" s="68"/>
      <c r="L40" s="69"/>
      <c r="M40" s="50"/>
      <c r="N40" s="2"/>
      <c r="O40" s="38"/>
      <c r="P40" s="2"/>
    </row>
    <row r="41" spans="1:16" ht="15.75" thickBot="1" x14ac:dyDescent="0.3">
      <c r="A41" s="100" t="s">
        <v>29</v>
      </c>
      <c r="B41" s="101"/>
      <c r="C41" s="101"/>
      <c r="D41" s="102">
        <f>12/D38*I41</f>
        <v>9347.7227722772277</v>
      </c>
      <c r="E41" s="22" t="s">
        <v>16</v>
      </c>
      <c r="F41" s="23"/>
      <c r="G41" s="24"/>
      <c r="H41" s="23" t="s">
        <v>18</v>
      </c>
      <c r="I41" s="25">
        <v>23603</v>
      </c>
      <c r="J41" s="26"/>
      <c r="K41" s="27"/>
      <c r="L41" s="27"/>
      <c r="M41" s="28"/>
      <c r="N41" s="2"/>
      <c r="O41" s="81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6.5" thickBot="1" x14ac:dyDescent="0.3">
      <c r="A43" s="8" t="s">
        <v>53</v>
      </c>
      <c r="B43" s="42"/>
      <c r="C43" s="43"/>
      <c r="D43" s="44"/>
      <c r="E43" s="45"/>
      <c r="F43" s="46"/>
      <c r="G43" s="47"/>
      <c r="H43" s="47"/>
      <c r="I43" s="47"/>
      <c r="J43" s="47"/>
      <c r="K43" s="47"/>
      <c r="L43" s="47"/>
      <c r="M43" s="47"/>
      <c r="N43" s="2"/>
      <c r="O43" s="2"/>
      <c r="P43" s="2"/>
    </row>
    <row r="44" spans="1:16" ht="15.75" thickBot="1" x14ac:dyDescent="0.3">
      <c r="A44" s="147" t="s">
        <v>34</v>
      </c>
      <c r="B44" s="30" t="s">
        <v>14</v>
      </c>
      <c r="C44" s="228">
        <f>C8+C9+C10+C11</f>
        <v>82</v>
      </c>
      <c r="D44" s="10">
        <f>ROUND(IF(C44&lt;O44,G44,IF(C44&lt;O45,G45+H45*C44+I45*C44^2+J45*C44^3+K45*C44^4+L45*C44^5+M45*C44^6,G46)),2)</f>
        <v>39.4</v>
      </c>
      <c r="E44" s="11">
        <f>ROUND(C44/D44,2)</f>
        <v>2.08</v>
      </c>
      <c r="F44" s="32" t="s">
        <v>20</v>
      </c>
      <c r="G44" s="59">
        <v>33.9</v>
      </c>
      <c r="H44" s="12"/>
      <c r="I44" s="12"/>
      <c r="J44" s="48"/>
      <c r="K44" s="48"/>
      <c r="L44" s="48"/>
      <c r="M44" s="33"/>
      <c r="N44" s="2"/>
      <c r="O44" s="13">
        <v>10</v>
      </c>
      <c r="P44" s="2"/>
    </row>
    <row r="45" spans="1:16" x14ac:dyDescent="0.25">
      <c r="A45" s="148"/>
      <c r="B45" s="60"/>
      <c r="C45" s="35"/>
      <c r="D45" s="61"/>
      <c r="E45" s="15"/>
      <c r="F45" s="49" t="s">
        <v>83</v>
      </c>
      <c r="G45" s="218">
        <v>33.102091765355595</v>
      </c>
      <c r="H45" s="151">
        <v>7.941737541421362E-2</v>
      </c>
      <c r="I45" s="208">
        <v>4.6680002000354389E-6</v>
      </c>
      <c r="J45" s="197">
        <v>-4.5258809245245643E-7</v>
      </c>
      <c r="K45" s="63"/>
      <c r="L45" s="62"/>
      <c r="M45" s="64"/>
      <c r="N45" s="2"/>
      <c r="O45" s="13">
        <v>245</v>
      </c>
      <c r="P45" s="2"/>
    </row>
    <row r="46" spans="1:16" ht="15.75" thickBot="1" x14ac:dyDescent="0.3">
      <c r="A46" s="149"/>
      <c r="B46" s="40"/>
      <c r="C46" s="41"/>
      <c r="D46" s="19"/>
      <c r="E46" s="20"/>
      <c r="F46" s="65" t="s">
        <v>84</v>
      </c>
      <c r="G46" s="66">
        <v>46.18</v>
      </c>
      <c r="H46" s="21"/>
      <c r="I46" s="67"/>
      <c r="J46" s="68"/>
      <c r="K46" s="68"/>
      <c r="L46" s="69"/>
      <c r="M46" s="50"/>
      <c r="N46" s="2"/>
      <c r="O46" s="38"/>
      <c r="P46" s="2"/>
    </row>
    <row r="47" spans="1:16" ht="15.75" thickBot="1" x14ac:dyDescent="0.3">
      <c r="A47" s="100" t="s">
        <v>29</v>
      </c>
      <c r="B47" s="101"/>
      <c r="C47" s="101"/>
      <c r="D47" s="102">
        <f>12/D44*I47</f>
        <v>7188.7309644670058</v>
      </c>
      <c r="E47" s="22" t="s">
        <v>16</v>
      </c>
      <c r="F47" s="23"/>
      <c r="G47" s="24"/>
      <c r="H47" s="23" t="s">
        <v>18</v>
      </c>
      <c r="I47" s="25">
        <v>23603</v>
      </c>
      <c r="J47" s="26"/>
      <c r="K47" s="27"/>
      <c r="L47" s="27"/>
      <c r="M47" s="28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</sheetData>
  <sheetProtection sheet="1" objects="1" scenarios="1"/>
  <pageMargins left="0.7" right="0.7" top="0.78740157499999996" bottom="0.78740157499999996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nápočet komponent</vt:lpstr>
      <vt:lpstr>souběh výkonů ŠJ</vt:lpstr>
      <vt:lpstr>List3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340</dc:creator>
  <cp:lastModifiedBy>Jarkovský Václav Ing.</cp:lastModifiedBy>
  <cp:lastPrinted>2019-02-15T09:57:53Z</cp:lastPrinted>
  <dcterms:created xsi:type="dcterms:W3CDTF">2011-02-23T12:23:42Z</dcterms:created>
  <dcterms:modified xsi:type="dcterms:W3CDTF">2022-04-23T06:46:51Z</dcterms:modified>
</cp:coreProperties>
</file>