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400" windowHeight="12015"/>
  </bookViews>
  <sheets>
    <sheet name="2012" sheetId="1" r:id="rId1"/>
  </sheets>
  <definedNames>
    <definedName name="_xlnm.Print_Titles" localSheetId="0">'2012'!$6:$6</definedName>
    <definedName name="_xlnm.Print_Area" localSheetId="0">'2012'!$A$1:$I$289</definedName>
  </definedNames>
  <calcPr calcId="125725"/>
</workbook>
</file>

<file path=xl/calcChain.xml><?xml version="1.0" encoding="utf-8"?>
<calcChain xmlns="http://schemas.openxmlformats.org/spreadsheetml/2006/main">
  <c r="I273" i="1"/>
  <c r="I260"/>
  <c r="I255"/>
  <c r="I245"/>
  <c r="I240"/>
  <c r="I235"/>
  <c r="I282" s="1"/>
  <c r="I234"/>
  <c r="I281"/>
  <c r="I78"/>
  <c r="I188"/>
  <c r="I89"/>
  <c r="I136"/>
  <c r="I105"/>
  <c r="I41" l="1"/>
  <c r="I152"/>
  <c r="I127"/>
  <c r="I43"/>
  <c r="I31"/>
  <c r="I191"/>
  <c r="I54"/>
  <c r="I51"/>
  <c r="I159" l="1"/>
  <c r="I284"/>
  <c r="I221"/>
  <c r="I211"/>
  <c r="I163"/>
  <c r="I157"/>
  <c r="I153"/>
  <c r="I146"/>
  <c r="I128"/>
  <c r="I123"/>
  <c r="I117"/>
  <c r="I112"/>
  <c r="I111"/>
  <c r="I107"/>
  <c r="I102"/>
  <c r="I101" s="1"/>
  <c r="I75"/>
  <c r="I74" s="1"/>
  <c r="I68"/>
  <c r="I62"/>
  <c r="I61" s="1"/>
  <c r="I204"/>
  <c r="I203"/>
  <c r="I202"/>
  <c r="I201"/>
  <c r="I207"/>
  <c r="I193"/>
  <c r="I192" s="1"/>
  <c r="I98"/>
  <c r="I95"/>
  <c r="I182"/>
  <c r="I178" s="1"/>
  <c r="I179"/>
  <c r="I172"/>
  <c r="I168"/>
  <c r="I58"/>
  <c r="I49"/>
  <c r="I44"/>
  <c r="I36"/>
  <c r="I35" s="1"/>
  <c r="I29"/>
  <c r="I22"/>
  <c r="I13" s="1"/>
  <c r="F235"/>
  <c r="H260"/>
  <c r="H212"/>
  <c r="H54"/>
  <c r="H49" s="1"/>
  <c r="H41"/>
  <c r="H36"/>
  <c r="H62"/>
  <c r="I48" l="1"/>
  <c r="I94"/>
  <c r="I122"/>
  <c r="I145"/>
  <c r="I156"/>
  <c r="I210"/>
  <c r="I33"/>
  <c r="I167"/>
  <c r="E200"/>
  <c r="I200" s="1"/>
  <c r="E206"/>
  <c r="I206" s="1"/>
  <c r="I197" l="1"/>
  <c r="H211"/>
  <c r="H221"/>
  <c r="H207"/>
  <c r="H197"/>
  <c r="E235"/>
  <c r="G235"/>
  <c r="D235"/>
  <c r="E251"/>
  <c r="F251"/>
  <c r="G251"/>
  <c r="D251"/>
  <c r="E245"/>
  <c r="F245"/>
  <c r="G245"/>
  <c r="D245"/>
  <c r="H193"/>
  <c r="H186"/>
  <c r="H179"/>
  <c r="H168"/>
  <c r="H157"/>
  <c r="H146"/>
  <c r="H134"/>
  <c r="H123"/>
  <c r="H112"/>
  <c r="H102"/>
  <c r="H75"/>
  <c r="H95"/>
  <c r="H80"/>
  <c r="H234"/>
  <c r="E193"/>
  <c r="F193"/>
  <c r="F192" s="1"/>
  <c r="G193"/>
  <c r="G192" s="1"/>
  <c r="D193"/>
  <c r="D192" s="1"/>
  <c r="B193"/>
  <c r="H192"/>
  <c r="E192"/>
  <c r="B192"/>
  <c r="E163"/>
  <c r="F163"/>
  <c r="G163"/>
  <c r="H163"/>
  <c r="D163"/>
  <c r="D284"/>
  <c r="D273"/>
  <c r="D268"/>
  <c r="D260"/>
  <c r="D255"/>
  <c r="D249"/>
  <c r="D240"/>
  <c r="D237"/>
  <c r="D234"/>
  <c r="D221"/>
  <c r="D211"/>
  <c r="D210" s="1"/>
  <c r="D207"/>
  <c r="D197"/>
  <c r="D186"/>
  <c r="D185" s="1"/>
  <c r="D182"/>
  <c r="D179"/>
  <c r="D178" s="1"/>
  <c r="D172"/>
  <c r="D168"/>
  <c r="D157"/>
  <c r="D156"/>
  <c r="D153"/>
  <c r="D146"/>
  <c r="D145" s="1"/>
  <c r="D140"/>
  <c r="D138"/>
  <c r="D134" s="1"/>
  <c r="D133" s="1"/>
  <c r="D128"/>
  <c r="D123"/>
  <c r="D117"/>
  <c r="D112"/>
  <c r="D107"/>
  <c r="D101" s="1"/>
  <c r="D102"/>
  <c r="D98"/>
  <c r="D95"/>
  <c r="D89"/>
  <c r="D80"/>
  <c r="D75"/>
  <c r="D74" s="1"/>
  <c r="D68"/>
  <c r="D62"/>
  <c r="D58"/>
  <c r="D49"/>
  <c r="D48"/>
  <c r="D44"/>
  <c r="D36"/>
  <c r="D29"/>
  <c r="D22"/>
  <c r="D13" s="1"/>
  <c r="D33" s="1"/>
  <c r="H210"/>
  <c r="D61" l="1"/>
  <c r="D79"/>
  <c r="D94"/>
  <c r="D111"/>
  <c r="D122"/>
  <c r="D196"/>
  <c r="D167"/>
  <c r="H281"/>
  <c r="D281"/>
  <c r="D282"/>
  <c r="D232"/>
  <c r="D283" s="1"/>
  <c r="D291" s="1"/>
  <c r="D35"/>
  <c r="J284"/>
  <c r="K284"/>
  <c r="J273"/>
  <c r="K273"/>
  <c r="I268"/>
  <c r="J268"/>
  <c r="K268"/>
  <c r="J260"/>
  <c r="K260"/>
  <c r="J255"/>
  <c r="K255"/>
  <c r="J251"/>
  <c r="K251"/>
  <c r="I249"/>
  <c r="J249"/>
  <c r="K249"/>
  <c r="J245"/>
  <c r="K245"/>
  <c r="J240"/>
  <c r="K240"/>
  <c r="I237"/>
  <c r="I232" s="1"/>
  <c r="J237"/>
  <c r="K237"/>
  <c r="I186"/>
  <c r="I185" s="1"/>
  <c r="J186"/>
  <c r="K186"/>
  <c r="K185" s="1"/>
  <c r="J185"/>
  <c r="J182"/>
  <c r="K182"/>
  <c r="J172"/>
  <c r="K172"/>
  <c r="J163"/>
  <c r="K163"/>
  <c r="J153"/>
  <c r="K153"/>
  <c r="I140"/>
  <c r="J140"/>
  <c r="K140"/>
  <c r="J128"/>
  <c r="K128"/>
  <c r="J117"/>
  <c r="K117"/>
  <c r="J107"/>
  <c r="K107"/>
  <c r="J98"/>
  <c r="K98"/>
  <c r="J89"/>
  <c r="K89"/>
  <c r="J74"/>
  <c r="K74"/>
  <c r="J68"/>
  <c r="K68"/>
  <c r="J58"/>
  <c r="K58"/>
  <c r="J44"/>
  <c r="K44"/>
  <c r="E140"/>
  <c r="F140"/>
  <c r="G140"/>
  <c r="H140"/>
  <c r="E284"/>
  <c r="F284"/>
  <c r="G284"/>
  <c r="H284"/>
  <c r="E273"/>
  <c r="F273"/>
  <c r="G273"/>
  <c r="E268"/>
  <c r="F268"/>
  <c r="G268"/>
  <c r="H268"/>
  <c r="E260"/>
  <c r="F260"/>
  <c r="G260"/>
  <c r="E255"/>
  <c r="F255"/>
  <c r="G255"/>
  <c r="E249"/>
  <c r="F249"/>
  <c r="G249"/>
  <c r="H249"/>
  <c r="H232" s="1"/>
  <c r="E240"/>
  <c r="F240"/>
  <c r="G240"/>
  <c r="E237"/>
  <c r="F237"/>
  <c r="G237"/>
  <c r="H237"/>
  <c r="F221"/>
  <c r="G221"/>
  <c r="E221"/>
  <c r="E172"/>
  <c r="F172"/>
  <c r="G172"/>
  <c r="H172"/>
  <c r="E153"/>
  <c r="F153"/>
  <c r="G153"/>
  <c r="H153"/>
  <c r="E117"/>
  <c r="F117"/>
  <c r="G117"/>
  <c r="H117"/>
  <c r="H98"/>
  <c r="G98"/>
  <c r="F98"/>
  <c r="E98"/>
  <c r="E58"/>
  <c r="F58"/>
  <c r="G58"/>
  <c r="H58"/>
  <c r="G29"/>
  <c r="G22"/>
  <c r="G13" s="1"/>
  <c r="H22"/>
  <c r="G234"/>
  <c r="E234"/>
  <c r="F234"/>
  <c r="F197"/>
  <c r="G197"/>
  <c r="F29"/>
  <c r="F211"/>
  <c r="G211"/>
  <c r="E211"/>
  <c r="E207"/>
  <c r="F207"/>
  <c r="G207"/>
  <c r="E197"/>
  <c r="E186"/>
  <c r="E185" s="1"/>
  <c r="F186"/>
  <c r="F185" s="1"/>
  <c r="G186"/>
  <c r="G185" s="1"/>
  <c r="H185"/>
  <c r="E182"/>
  <c r="F182"/>
  <c r="G182"/>
  <c r="H182"/>
  <c r="E179"/>
  <c r="E178" s="1"/>
  <c r="F179"/>
  <c r="G179"/>
  <c r="G178" s="1"/>
  <c r="E168"/>
  <c r="F168"/>
  <c r="G168"/>
  <c r="E157"/>
  <c r="E156" s="1"/>
  <c r="F157"/>
  <c r="G157"/>
  <c r="E146"/>
  <c r="E145" s="1"/>
  <c r="F146"/>
  <c r="G146"/>
  <c r="E134"/>
  <c r="F134"/>
  <c r="G134"/>
  <c r="F133"/>
  <c r="E128"/>
  <c r="F128"/>
  <c r="G128"/>
  <c r="H128"/>
  <c r="E123"/>
  <c r="F123"/>
  <c r="G123"/>
  <c r="G122" s="1"/>
  <c r="E112"/>
  <c r="E111" s="1"/>
  <c r="F112"/>
  <c r="G112"/>
  <c r="G111" s="1"/>
  <c r="E107"/>
  <c r="F107"/>
  <c r="G107"/>
  <c r="H107"/>
  <c r="E102"/>
  <c r="E101" s="1"/>
  <c r="F102"/>
  <c r="G102"/>
  <c r="G101" s="1"/>
  <c r="E95"/>
  <c r="E94" s="1"/>
  <c r="F95"/>
  <c r="G95"/>
  <c r="G94" s="1"/>
  <c r="E89"/>
  <c r="F89"/>
  <c r="G89"/>
  <c r="H89"/>
  <c r="E80"/>
  <c r="E79" s="1"/>
  <c r="F80"/>
  <c r="G80"/>
  <c r="E75"/>
  <c r="E74" s="1"/>
  <c r="F75"/>
  <c r="G75"/>
  <c r="F74"/>
  <c r="E68"/>
  <c r="F68"/>
  <c r="G68"/>
  <c r="H68"/>
  <c r="E62"/>
  <c r="E61" s="1"/>
  <c r="F62"/>
  <c r="G62"/>
  <c r="G61" s="1"/>
  <c r="E49"/>
  <c r="E48" s="1"/>
  <c r="F49"/>
  <c r="G49"/>
  <c r="G48" s="1"/>
  <c r="E44"/>
  <c r="F44"/>
  <c r="G44"/>
  <c r="H44"/>
  <c r="E36"/>
  <c r="F36"/>
  <c r="G36"/>
  <c r="F35"/>
  <c r="E29"/>
  <c r="E22"/>
  <c r="E13" s="1"/>
  <c r="C273"/>
  <c r="B273"/>
  <c r="C268"/>
  <c r="C260"/>
  <c r="B260"/>
  <c r="C255"/>
  <c r="C251"/>
  <c r="C234" s="1"/>
  <c r="C249"/>
  <c r="C245"/>
  <c r="C240"/>
  <c r="B240"/>
  <c r="C237"/>
  <c r="K234"/>
  <c r="K235" s="1"/>
  <c r="K232" s="1"/>
  <c r="J234"/>
  <c r="J235" s="1"/>
  <c r="J232" s="1"/>
  <c r="B234"/>
  <c r="C210"/>
  <c r="C207"/>
  <c r="C197"/>
  <c r="K196"/>
  <c r="J196"/>
  <c r="I196"/>
  <c r="C186"/>
  <c r="B186"/>
  <c r="C185"/>
  <c r="B185"/>
  <c r="C182"/>
  <c r="K179"/>
  <c r="K178" s="1"/>
  <c r="J179"/>
  <c r="J178" s="1"/>
  <c r="C179"/>
  <c r="B179"/>
  <c r="B178" s="1"/>
  <c r="C172"/>
  <c r="B172"/>
  <c r="B170"/>
  <c r="K168"/>
  <c r="K167" s="1"/>
  <c r="J168"/>
  <c r="J167" s="1"/>
  <c r="C168"/>
  <c r="B168"/>
  <c r="K157"/>
  <c r="K156" s="1"/>
  <c r="J157"/>
  <c r="J156" s="1"/>
  <c r="C157"/>
  <c r="C156" s="1"/>
  <c r="C153" s="1"/>
  <c r="B157"/>
  <c r="B156" s="1"/>
  <c r="B153" s="1"/>
  <c r="K146"/>
  <c r="K145" s="1"/>
  <c r="J146"/>
  <c r="J145" s="1"/>
  <c r="C146"/>
  <c r="B146"/>
  <c r="C145"/>
  <c r="B145"/>
  <c r="C140"/>
  <c r="B140"/>
  <c r="K134"/>
  <c r="K133" s="1"/>
  <c r="J134"/>
  <c r="J133" s="1"/>
  <c r="I134"/>
  <c r="I133" s="1"/>
  <c r="C134"/>
  <c r="B134"/>
  <c r="C128"/>
  <c r="B128"/>
  <c r="K123"/>
  <c r="K122" s="1"/>
  <c r="J123"/>
  <c r="J122" s="1"/>
  <c r="C123"/>
  <c r="C122" s="1"/>
  <c r="B123"/>
  <c r="B122" s="1"/>
  <c r="C117"/>
  <c r="K112"/>
  <c r="K111" s="1"/>
  <c r="J112"/>
  <c r="J111" s="1"/>
  <c r="C112"/>
  <c r="B112"/>
  <c r="B111" s="1"/>
  <c r="C107"/>
  <c r="B107"/>
  <c r="K102"/>
  <c r="K101" s="1"/>
  <c r="J102"/>
  <c r="J101" s="1"/>
  <c r="C102"/>
  <c r="B102"/>
  <c r="C101"/>
  <c r="B101"/>
  <c r="K95"/>
  <c r="K94" s="1"/>
  <c r="J95"/>
  <c r="J94" s="1"/>
  <c r="C95"/>
  <c r="C94" s="1"/>
  <c r="B95"/>
  <c r="B94" s="1"/>
  <c r="C89"/>
  <c r="B89"/>
  <c r="K80"/>
  <c r="K79" s="1"/>
  <c r="J80"/>
  <c r="J79" s="1"/>
  <c r="I80"/>
  <c r="C80"/>
  <c r="C79" s="1"/>
  <c r="B80"/>
  <c r="B79" s="1"/>
  <c r="C75"/>
  <c r="C74" s="1"/>
  <c r="B75"/>
  <c r="B74" s="1"/>
  <c r="C68"/>
  <c r="B68"/>
  <c r="K62"/>
  <c r="K61" s="1"/>
  <c r="J62"/>
  <c r="J61" s="1"/>
  <c r="C62"/>
  <c r="B62"/>
  <c r="B61" s="1"/>
  <c r="K49"/>
  <c r="K48" s="1"/>
  <c r="J49"/>
  <c r="J48" s="1"/>
  <c r="C49"/>
  <c r="C48" s="1"/>
  <c r="B49"/>
  <c r="B48" s="1"/>
  <c r="C44"/>
  <c r="B44"/>
  <c r="K36"/>
  <c r="K281" s="1"/>
  <c r="J36"/>
  <c r="J35" s="1"/>
  <c r="C36"/>
  <c r="B36"/>
  <c r="B35" s="1"/>
  <c r="K29"/>
  <c r="J29"/>
  <c r="H29"/>
  <c r="C29"/>
  <c r="B29"/>
  <c r="K22"/>
  <c r="K13" s="1"/>
  <c r="K33" s="1"/>
  <c r="J22"/>
  <c r="J13" s="1"/>
  <c r="J33" s="1"/>
  <c r="F22"/>
  <c r="F13" s="1"/>
  <c r="F33" s="1"/>
  <c r="C22"/>
  <c r="C13" s="1"/>
  <c r="B22"/>
  <c r="B13" s="1"/>
  <c r="H13"/>
  <c r="B33" l="1"/>
  <c r="B133"/>
  <c r="C196"/>
  <c r="C193" s="1"/>
  <c r="C192" s="1"/>
  <c r="G281"/>
  <c r="F281"/>
  <c r="K282"/>
  <c r="J282"/>
  <c r="I79"/>
  <c r="E281"/>
  <c r="F79"/>
  <c r="H79"/>
  <c r="H74"/>
  <c r="F178"/>
  <c r="F94"/>
  <c r="F101"/>
  <c r="E282"/>
  <c r="J283"/>
  <c r="F48"/>
  <c r="H48"/>
  <c r="F111"/>
  <c r="H111"/>
  <c r="F145"/>
  <c r="H145"/>
  <c r="K35"/>
  <c r="K283" s="1"/>
  <c r="J281"/>
  <c r="C61"/>
  <c r="G35"/>
  <c r="E35"/>
  <c r="H282"/>
  <c r="F282"/>
  <c r="H167"/>
  <c r="G282"/>
  <c r="G133"/>
  <c r="G74"/>
  <c r="H94"/>
  <c r="H178"/>
  <c r="G145"/>
  <c r="K291"/>
  <c r="H133"/>
  <c r="H101"/>
  <c r="H122"/>
  <c r="C281"/>
  <c r="H156"/>
  <c r="F156"/>
  <c r="G210"/>
  <c r="G196" s="1"/>
  <c r="G167"/>
  <c r="G156"/>
  <c r="J291"/>
  <c r="C33"/>
  <c r="C178"/>
  <c r="G79"/>
  <c r="G33"/>
  <c r="F210"/>
  <c r="F196" s="1"/>
  <c r="F167"/>
  <c r="E33"/>
  <c r="F122"/>
  <c r="H33"/>
  <c r="G232"/>
  <c r="E232"/>
  <c r="F232"/>
  <c r="E210"/>
  <c r="E196" s="1"/>
  <c r="C133"/>
  <c r="E167"/>
  <c r="E133"/>
  <c r="C111"/>
  <c r="E122"/>
  <c r="B167"/>
  <c r="B163" s="1"/>
  <c r="C167"/>
  <c r="C163" s="1"/>
  <c r="B235"/>
  <c r="B232" s="1"/>
  <c r="B283" s="1"/>
  <c r="B284" s="1"/>
  <c r="H61"/>
  <c r="F61"/>
  <c r="C35"/>
  <c r="B281"/>
  <c r="C235"/>
  <c r="C232" s="1"/>
  <c r="I283" l="1"/>
  <c r="I291" s="1"/>
  <c r="G283"/>
  <c r="G291" s="1"/>
  <c r="E283"/>
  <c r="F283"/>
  <c r="F291" s="1"/>
  <c r="H35"/>
  <c r="C283"/>
  <c r="C284" s="1"/>
  <c r="B282"/>
  <c r="C282"/>
  <c r="H196"/>
  <c r="H283" l="1"/>
  <c r="H291" s="1"/>
</calcChain>
</file>

<file path=xl/comments1.xml><?xml version="1.0" encoding="utf-8"?>
<comments xmlns="http://schemas.openxmlformats.org/spreadsheetml/2006/main">
  <authors>
    <author>378</author>
  </authors>
  <commentList>
    <comment ref="D145" authorId="0">
      <text>
        <r>
          <rPr>
            <b/>
            <sz val="8"/>
            <color indexed="81"/>
            <rFont val="Tahoma"/>
            <family val="2"/>
            <charset val="238"/>
          </rPr>
          <t>378:</t>
        </r>
        <r>
          <rPr>
            <sz val="8"/>
            <color indexed="81"/>
            <rFont val="Tahoma"/>
            <family val="2"/>
            <charset val="238"/>
          </rPr>
          <t xml:space="preserve">
vč.revize 4810
</t>
        </r>
      </text>
    </comment>
    <comment ref="F145" authorId="0">
      <text>
        <r>
          <rPr>
            <b/>
            <sz val="8"/>
            <color indexed="81"/>
            <rFont val="Tahoma"/>
            <family val="2"/>
            <charset val="238"/>
          </rPr>
          <t>378:</t>
        </r>
        <r>
          <rPr>
            <sz val="8"/>
            <color indexed="81"/>
            <rFont val="Tahoma"/>
            <family val="2"/>
            <charset val="238"/>
          </rPr>
          <t xml:space="preserve">
vč.revize 4810
</t>
        </r>
      </text>
    </comment>
  </commentList>
</comments>
</file>

<file path=xl/sharedStrings.xml><?xml version="1.0" encoding="utf-8"?>
<sst xmlns="http://schemas.openxmlformats.org/spreadsheetml/2006/main" count="298" uniqueCount="179">
  <si>
    <t>(v tis. Kč)</t>
  </si>
  <si>
    <t>UKAZATEL</t>
  </si>
  <si>
    <t>Schválený rozpočet 
na rok 2007</t>
  </si>
  <si>
    <t>Schválený rozpočet
 na rok 2008</t>
  </si>
  <si>
    <t xml:space="preserve">Návrh rozpočtu 
na rok 2010 
k
</t>
  </si>
  <si>
    <t xml:space="preserve">PŘÍJMY    </t>
  </si>
  <si>
    <t>tř. 1 - Daňové příjmy</t>
  </si>
  <si>
    <t>tř. 2 - Nedaňové příjmy</t>
  </si>
  <si>
    <t xml:space="preserve">v tom: </t>
  </si>
  <si>
    <t>přijaté úroky</t>
  </si>
  <si>
    <t xml:space="preserve">platby za odebr. mn.podzemní vody </t>
  </si>
  <si>
    <t>odvody PO</t>
  </si>
  <si>
    <t xml:space="preserve">    v tom odvětví: školství</t>
  </si>
  <si>
    <t xml:space="preserve">                        zdravotnictví</t>
  </si>
  <si>
    <t xml:space="preserve">                        kultury</t>
  </si>
  <si>
    <t xml:space="preserve">                        soc.věcí</t>
  </si>
  <si>
    <t>tř. 4 - Neinvestiční přijaté dotace</t>
  </si>
  <si>
    <t>v tom:</t>
  </si>
  <si>
    <t xml:space="preserve">  neinv.d.ze SR v rámci souhrn.dot.vztahu</t>
  </si>
  <si>
    <t xml:space="preserve">  od obcí</t>
  </si>
  <si>
    <t>PŘÍJMY CELKEM</t>
  </si>
  <si>
    <t>VÝDAJE</t>
  </si>
  <si>
    <t>kap. 18 - zastupitelstvo kraje</t>
  </si>
  <si>
    <t>běžné výdaje</t>
  </si>
  <si>
    <t>odměny vč. refundací</t>
  </si>
  <si>
    <t>povinné pojistné placené zaměstnavatelem</t>
  </si>
  <si>
    <t>pohoštění a dary</t>
  </si>
  <si>
    <t>ostatní běžné výdaje</t>
  </si>
  <si>
    <t>ostatní příspěvky a dary</t>
  </si>
  <si>
    <t>kapitálové výdaje</t>
  </si>
  <si>
    <t>kap. 19 - činnost krajského úřadu</t>
  </si>
  <si>
    <t>platy zaměstnanců a ost.pl.za prov.práci</t>
  </si>
  <si>
    <t>pohoštění</t>
  </si>
  <si>
    <t>pronájem služeb a prostor v RC NP</t>
  </si>
  <si>
    <t>krizové plánování</t>
  </si>
  <si>
    <t>pronájem a nákl.na detaš.pracoviště</t>
  </si>
  <si>
    <t>kap. 02 - životní prostředí a zemědělství</t>
  </si>
  <si>
    <t xml:space="preserve">vodohosp.akce dle vodního zákona </t>
  </si>
  <si>
    <t>investiční dotace obcím</t>
  </si>
  <si>
    <t>ostatní kapitálové výdaje</t>
  </si>
  <si>
    <t>investiční dotace a.s. ZOO</t>
  </si>
  <si>
    <t>kap. 09 - volnočasové aktivity</t>
  </si>
  <si>
    <t>kap. 10 - doprava</t>
  </si>
  <si>
    <t>dopravní územní obslužnost:</t>
  </si>
  <si>
    <t xml:space="preserve">    autobusová doprava</t>
  </si>
  <si>
    <t xml:space="preserve">    drážní doprava</t>
  </si>
  <si>
    <t>příspěvky PO na provoz</t>
  </si>
  <si>
    <t>splátka dodavatelského úvěru</t>
  </si>
  <si>
    <t xml:space="preserve">kap. 11 - cestovní ruch </t>
  </si>
  <si>
    <t>kap. 12 - správa majetku kraje</t>
  </si>
  <si>
    <t>zajištění správy majetku kraje</t>
  </si>
  <si>
    <t>kap. 13 - evropská integrace</t>
  </si>
  <si>
    <t>dotace pro Reg. radu regionu soudržnosti SV</t>
  </si>
  <si>
    <t>příspěvek PO na provoz - Centrum EP</t>
  </si>
  <si>
    <t>kap. 14 - školství</t>
  </si>
  <si>
    <t xml:space="preserve">běžné výdaje                     </t>
  </si>
  <si>
    <t xml:space="preserve">ostatní běžné výdaje </t>
  </si>
  <si>
    <t>prům.zóna Solnice-Kvasiny-ost.kapitál.výd.</t>
  </si>
  <si>
    <t>kap. 15 - zdravotnictví</t>
  </si>
  <si>
    <t>kap. 16 - kultura</t>
  </si>
  <si>
    <t xml:space="preserve">běžné výdaje             </t>
  </si>
  <si>
    <t>kap. 28 - sociální věci</t>
  </si>
  <si>
    <t xml:space="preserve">běžné výdaje                                    </t>
  </si>
  <si>
    <t>příspěvek PO na provoz</t>
  </si>
  <si>
    <t>kap. 39 - regionální rozvoj</t>
  </si>
  <si>
    <t>prům.zóna Solnice-Kvasiny-inv.dot.obcím</t>
  </si>
  <si>
    <t xml:space="preserve">kap. 40 - územní plánování </t>
  </si>
  <si>
    <t>kap. 41 - rez.a ost.výd.netýk.se odv.</t>
  </si>
  <si>
    <t>ostatní běžné výdaje          (úroky)</t>
  </si>
  <si>
    <t xml:space="preserve">kofinancování a předfin., G, POV - kap. 13 
</t>
  </si>
  <si>
    <t>v tom: gr.a dílčí progr.a sam.proj.-běžné v.</t>
  </si>
  <si>
    <t xml:space="preserve">            v tom pro odvětví:</t>
  </si>
  <si>
    <t xml:space="preserve">               - zastupitelstvo kraje</t>
  </si>
  <si>
    <t xml:space="preserve">               - životní prostředí a zemědělství</t>
  </si>
  <si>
    <t xml:space="preserve">               - volnočasové aktivity</t>
  </si>
  <si>
    <t xml:space="preserve">               - cestovní ruch</t>
  </si>
  <si>
    <t xml:space="preserve">               - školství</t>
  </si>
  <si>
    <t xml:space="preserve">               - kultura</t>
  </si>
  <si>
    <t xml:space="preserve">               - sociální věci</t>
  </si>
  <si>
    <t xml:space="preserve">               - regionální rozvoj</t>
  </si>
  <si>
    <t xml:space="preserve">          program obnovy venkova</t>
  </si>
  <si>
    <t xml:space="preserve">              v tom: běžné výdaje</t>
  </si>
  <si>
    <t xml:space="preserve">                        kapitálové výdaje</t>
  </si>
  <si>
    <t xml:space="preserve">          kofinancování a předfinancování</t>
  </si>
  <si>
    <t xml:space="preserve">              v tom: běžné výdaje celkem</t>
  </si>
  <si>
    <t xml:space="preserve">                           - evrop.integrace</t>
  </si>
  <si>
    <t xml:space="preserve">                           - doprava</t>
  </si>
  <si>
    <t xml:space="preserve">                           - školství</t>
  </si>
  <si>
    <t>kap. 50 - Fond rozv.a reprodukce KHK</t>
  </si>
  <si>
    <t>v tom pro odvětví:</t>
  </si>
  <si>
    <t xml:space="preserve">zastupitelstvo kraje </t>
  </si>
  <si>
    <t xml:space="preserve"> v tom: kapitálové výdaje odvětví</t>
  </si>
  <si>
    <t xml:space="preserve">           nerozděleno</t>
  </si>
  <si>
    <t xml:space="preserve">činnost krajského úřadu </t>
  </si>
  <si>
    <t>doprava</t>
  </si>
  <si>
    <t xml:space="preserve">  v tom: PO - investiční transfery</t>
  </si>
  <si>
    <t xml:space="preserve">            kapitálové výdaje odvětví</t>
  </si>
  <si>
    <t xml:space="preserve">cestovní ruch </t>
  </si>
  <si>
    <t xml:space="preserve">správa majetku kraje </t>
  </si>
  <si>
    <t xml:space="preserve"> v tom: běžné výdaje odvětví</t>
  </si>
  <si>
    <t>školství</t>
  </si>
  <si>
    <t xml:space="preserve"> v tom: PO - investiční transfery</t>
  </si>
  <si>
    <t xml:space="preserve">           kapitálové výdaje odvětví</t>
  </si>
  <si>
    <t>zdravotnictví</t>
  </si>
  <si>
    <t xml:space="preserve">           investiční transfery a.s.</t>
  </si>
  <si>
    <t xml:space="preserve">           běžné výdaje odvětví</t>
  </si>
  <si>
    <t>kultura</t>
  </si>
  <si>
    <t xml:space="preserve"> v tom: PO - investiční transfey</t>
  </si>
  <si>
    <t xml:space="preserve">                - neinvestiční transfery</t>
  </si>
  <si>
    <t xml:space="preserve">          kapitálové výdaje odvětví</t>
  </si>
  <si>
    <t>sociální věci</t>
  </si>
  <si>
    <t>tř. 5 - Běžné výdaje</t>
  </si>
  <si>
    <t>tř. 6 - Kapitálové výdaje</t>
  </si>
  <si>
    <t>VÝDAJE CELKEM</t>
  </si>
  <si>
    <t>tř. 8 - Financování</t>
  </si>
  <si>
    <t>splátky úvěru</t>
  </si>
  <si>
    <t>přijaté úvěry</t>
  </si>
  <si>
    <t>Schválený rozpočet
 na rok 2010</t>
  </si>
  <si>
    <t>vratky půjčených prostředků</t>
  </si>
  <si>
    <t>ostatní nedaňové příjmy</t>
  </si>
  <si>
    <t>tř. 3 - kapitálové příjmy</t>
  </si>
  <si>
    <t xml:space="preserve">běžné výdaje </t>
  </si>
  <si>
    <t>neinvestiční transfery obcím</t>
  </si>
  <si>
    <t xml:space="preserve">běžné výdaje    </t>
  </si>
  <si>
    <t>investiční transfery obcím</t>
  </si>
  <si>
    <t xml:space="preserve">běžné výdaje  </t>
  </si>
  <si>
    <r>
      <t xml:space="preserve">soustředěné pojištění majetku kraje </t>
    </r>
    <r>
      <rPr>
        <sz val="10"/>
        <color indexed="10"/>
        <rFont val="Arial CE"/>
        <charset val="238"/>
      </rPr>
      <t xml:space="preserve"> </t>
    </r>
  </si>
  <si>
    <t>návratné finanční výpomoci</t>
  </si>
  <si>
    <t>investiční transfery PO</t>
  </si>
  <si>
    <t xml:space="preserve">běžné výdaje                                      </t>
  </si>
  <si>
    <t>neinvestiční půjčené prostředky PO</t>
  </si>
  <si>
    <t>inv.dot.HZS KHK na výst.Centrál.po.st.a stř.ZZS HK</t>
  </si>
  <si>
    <t>výdaje z finančního vypořádání</t>
  </si>
  <si>
    <t xml:space="preserve">                           - cestovní ruch</t>
  </si>
  <si>
    <t xml:space="preserve">                           - kultura</t>
  </si>
  <si>
    <t xml:space="preserve">                           - regionální rozvoj</t>
  </si>
  <si>
    <t xml:space="preserve">           neinvestiční transfery a.s.</t>
  </si>
  <si>
    <t>poplatky</t>
  </si>
  <si>
    <t xml:space="preserve">           PO - investiční transfery</t>
  </si>
  <si>
    <t>sdílené daně</t>
  </si>
  <si>
    <t>daň z příjmu právnických osob za kraje</t>
  </si>
  <si>
    <t>správní a ostatní poplatky</t>
  </si>
  <si>
    <t xml:space="preserve">                        dopravy</t>
  </si>
  <si>
    <t>neinv.dot.městu Trutnov na činnost muzea</t>
  </si>
  <si>
    <t>investiční půjčené prostředky obcím</t>
  </si>
  <si>
    <t>daň z příjmu pravnických osob za kraj</t>
  </si>
  <si>
    <t xml:space="preserve">                           - životní prostředí</t>
  </si>
  <si>
    <t xml:space="preserve">                           - správa majetku kraje</t>
  </si>
  <si>
    <t xml:space="preserve">                           - zdravotnictví</t>
  </si>
  <si>
    <t xml:space="preserve">                           - sociální věci</t>
  </si>
  <si>
    <t>splátky půjček (SFDI)</t>
  </si>
  <si>
    <t>příjmy z pronájmu majetku - odv.doprava</t>
  </si>
  <si>
    <t>příjmy z pronáj.majetku - odv.zdravotnictví</t>
  </si>
  <si>
    <t>Podklady odvětví
na r. 2012 
k 4.5.2011</t>
  </si>
  <si>
    <t>přepsat</t>
  </si>
  <si>
    <t>Schválený rozpočet
 na rok 2011</t>
  </si>
  <si>
    <t xml:space="preserve">1.ZR Z.24.3.2011  nebo 2.ZR ? </t>
  </si>
  <si>
    <t>Skutečnost rok 2010</t>
  </si>
  <si>
    <t>příjmy z pronáj.majetku - odv.správa maj.kr.</t>
  </si>
  <si>
    <t xml:space="preserve">řešení havarijních situací </t>
  </si>
  <si>
    <t>peněžitý vklad do a.s.</t>
  </si>
  <si>
    <t xml:space="preserve">investiční půjčené prostředky </t>
  </si>
  <si>
    <t>kap. 49 - Regionální inovační fond</t>
  </si>
  <si>
    <t>investiční dotace Policii ČR</t>
  </si>
  <si>
    <t>nerozděleno na odvětví</t>
  </si>
  <si>
    <t>kofinancování a předfinancování</t>
  </si>
  <si>
    <t xml:space="preserve">Rozdíl příjmů a výdajů </t>
  </si>
  <si>
    <t>dotace na sociální služby</t>
  </si>
  <si>
    <t>neinvestiční transfer a.s. ZOO</t>
  </si>
  <si>
    <t>neinvestiční transfer s.r.o. OREDO</t>
  </si>
  <si>
    <t>neinvestiční transfery a.s.</t>
  </si>
  <si>
    <t xml:space="preserve">                           - činnost krajského úřadu</t>
  </si>
  <si>
    <t>životní prostředí a zemědělství</t>
  </si>
  <si>
    <t>v tom: investiční transfery a.s.</t>
  </si>
  <si>
    <t>zóna Solnice Kvasiny</t>
  </si>
  <si>
    <t>Příloha č. 1</t>
  </si>
  <si>
    <t xml:space="preserve">Schválený rozpočet na 
r. 2012 </t>
  </si>
  <si>
    <t>rezerva (10 mil. Kč vázáno na zónu Vrchlabí)</t>
  </si>
  <si>
    <t>Bilance příjmů a výdajů rozpočtu Královéhradeckého kraje na rok 2012</t>
  </si>
</sst>
</file>

<file path=xl/styles.xml><?xml version="1.0" encoding="utf-8"?>
<styleSheet xmlns="http://schemas.openxmlformats.org/spreadsheetml/2006/main">
  <numFmts count="5">
    <numFmt numFmtId="43" formatCode="_-* #,##0.00\ _K_č_-;\-* #,##0.00\ _K_č_-;_-* &quot;-&quot;??\ _K_č_-;_-@_-"/>
    <numFmt numFmtId="164" formatCode="#,##0\ _K_č"/>
    <numFmt numFmtId="165" formatCode="#,##0.0\ _K_č"/>
    <numFmt numFmtId="166" formatCode="#,##0.0_ ;\-#,##0.0\ "/>
    <numFmt numFmtId="167" formatCode="#,##0.0"/>
  </numFmts>
  <fonts count="20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 CE"/>
      <charset val="238"/>
    </font>
    <font>
      <sz val="8"/>
      <color rgb="FFFF0000"/>
      <name val="Arial CE"/>
      <charset val="238"/>
    </font>
    <font>
      <sz val="9"/>
      <name val="Arial CE"/>
      <family val="2"/>
      <charset val="238"/>
    </font>
    <font>
      <sz val="7"/>
      <color rgb="FFFF000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3" fontId="0" fillId="0" borderId="0" xfId="0"/>
    <xf numFmtId="3" fontId="3" fillId="0" borderId="2" xfId="0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 wrapText="1"/>
    </xf>
    <xf numFmtId="3" fontId="3" fillId="0" borderId="3" xfId="0" applyFont="1" applyFill="1" applyBorder="1" applyAlignment="1">
      <alignment horizontal="left" vertical="center"/>
    </xf>
    <xf numFmtId="165" fontId="3" fillId="0" borderId="3" xfId="1" applyNumberFormat="1" applyFont="1" applyFill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3" fontId="3" fillId="2" borderId="3" xfId="0" applyFont="1" applyFill="1" applyBorder="1"/>
    <xf numFmtId="165" fontId="3" fillId="2" borderId="3" xfId="1" applyNumberFormat="1" applyFont="1" applyFill="1" applyBorder="1"/>
    <xf numFmtId="166" fontId="3" fillId="2" borderId="3" xfId="1" applyNumberFormat="1" applyFont="1" applyFill="1" applyBorder="1"/>
    <xf numFmtId="166" fontId="3" fillId="2" borderId="4" xfId="1" applyNumberFormat="1" applyFont="1" applyFill="1" applyBorder="1"/>
    <xf numFmtId="3" fontId="5" fillId="0" borderId="3" xfId="0" applyFont="1" applyFill="1" applyBorder="1"/>
    <xf numFmtId="165" fontId="3" fillId="0" borderId="3" xfId="1" applyNumberFormat="1" applyFont="1" applyFill="1" applyBorder="1"/>
    <xf numFmtId="166" fontId="3" fillId="0" borderId="3" xfId="1" applyNumberFormat="1" applyFont="1" applyFill="1" applyBorder="1"/>
    <xf numFmtId="166" fontId="3" fillId="0" borderId="4" xfId="1" applyNumberFormat="1" applyFont="1" applyFill="1" applyBorder="1"/>
    <xf numFmtId="3" fontId="6" fillId="0" borderId="3" xfId="0" applyFont="1" applyFill="1" applyBorder="1"/>
    <xf numFmtId="165" fontId="6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4" xfId="1" applyNumberFormat="1" applyFont="1" applyFill="1" applyBorder="1"/>
    <xf numFmtId="3" fontId="7" fillId="3" borderId="5" xfId="0" applyFont="1" applyFill="1" applyBorder="1" applyAlignment="1">
      <alignment vertical="center"/>
    </xf>
    <xf numFmtId="165" fontId="3" fillId="3" borderId="5" xfId="1" applyNumberFormat="1" applyFont="1" applyFill="1" applyBorder="1" applyAlignment="1">
      <alignment vertical="center"/>
    </xf>
    <xf numFmtId="166" fontId="3" fillId="3" borderId="5" xfId="1" applyNumberFormat="1" applyFont="1" applyFill="1" applyBorder="1" applyAlignment="1">
      <alignment vertical="center"/>
    </xf>
    <xf numFmtId="3" fontId="3" fillId="0" borderId="3" xfId="0" applyFont="1" applyFill="1" applyBorder="1"/>
    <xf numFmtId="166" fontId="0" fillId="0" borderId="6" xfId="0" applyNumberFormat="1" applyBorder="1"/>
    <xf numFmtId="3" fontId="8" fillId="0" borderId="3" xfId="0" applyFont="1" applyFill="1" applyBorder="1"/>
    <xf numFmtId="165" fontId="8" fillId="0" borderId="3" xfId="1" applyNumberFormat="1" applyFont="1" applyFill="1" applyBorder="1"/>
    <xf numFmtId="166" fontId="8" fillId="0" borderId="3" xfId="1" applyNumberFormat="1" applyFont="1" applyFill="1" applyBorder="1"/>
    <xf numFmtId="166" fontId="0" fillId="0" borderId="3" xfId="0" applyNumberFormat="1" applyBorder="1"/>
    <xf numFmtId="166" fontId="0" fillId="0" borderId="4" xfId="0" applyNumberFormat="1" applyBorder="1"/>
    <xf numFmtId="3" fontId="6" fillId="0" borderId="7" xfId="0" applyFont="1" applyFill="1" applyBorder="1"/>
    <xf numFmtId="165" fontId="6" fillId="0" borderId="7" xfId="1" applyNumberFormat="1" applyFont="1" applyFill="1" applyBorder="1"/>
    <xf numFmtId="166" fontId="1" fillId="0" borderId="7" xfId="1" applyNumberFormat="1" applyFont="1" applyFill="1" applyBorder="1"/>
    <xf numFmtId="166" fontId="1" fillId="0" borderId="8" xfId="1" applyNumberFormat="1" applyFont="1" applyFill="1" applyBorder="1"/>
    <xf numFmtId="165" fontId="6" fillId="0" borderId="3" xfId="1" applyNumberFormat="1" applyFont="1" applyFill="1" applyBorder="1" applyAlignment="1">
      <alignment vertical="center"/>
    </xf>
    <xf numFmtId="166" fontId="6" fillId="0" borderId="3" xfId="1" applyNumberFormat="1" applyFont="1" applyFill="1" applyBorder="1"/>
    <xf numFmtId="166" fontId="6" fillId="0" borderId="4" xfId="1" applyNumberFormat="1" applyFont="1" applyFill="1" applyBorder="1"/>
    <xf numFmtId="166" fontId="6" fillId="0" borderId="7" xfId="1" applyNumberFormat="1" applyFont="1" applyFill="1" applyBorder="1"/>
    <xf numFmtId="166" fontId="6" fillId="0" borderId="8" xfId="1" applyNumberFormat="1" applyFont="1" applyFill="1" applyBorder="1"/>
    <xf numFmtId="166" fontId="10" fillId="0" borderId="7" xfId="1" applyNumberFormat="1" applyFont="1" applyFill="1" applyBorder="1"/>
    <xf numFmtId="3" fontId="11" fillId="0" borderId="3" xfId="0" applyFont="1" applyFill="1" applyBorder="1"/>
    <xf numFmtId="3" fontId="11" fillId="0" borderId="7" xfId="0" applyFont="1" applyFill="1" applyBorder="1"/>
    <xf numFmtId="166" fontId="12" fillId="0" borderId="4" xfId="0" applyNumberFormat="1" applyFont="1" applyBorder="1"/>
    <xf numFmtId="166" fontId="10" fillId="0" borderId="4" xfId="0" applyNumberFormat="1" applyFont="1" applyBorder="1" applyAlignment="1">
      <alignment horizontal="center"/>
    </xf>
    <xf numFmtId="165" fontId="3" fillId="2" borderId="3" xfId="1" applyNumberFormat="1" applyFont="1" applyFill="1" applyBorder="1" applyAlignment="1">
      <alignment vertical="center"/>
    </xf>
    <xf numFmtId="166" fontId="3" fillId="2" borderId="3" xfId="1" applyNumberFormat="1" applyFont="1" applyFill="1" applyBorder="1" applyAlignment="1">
      <alignment vertical="center"/>
    </xf>
    <xf numFmtId="3" fontId="13" fillId="0" borderId="3" xfId="0" applyFont="1" applyFill="1" applyBorder="1"/>
    <xf numFmtId="165" fontId="13" fillId="0" borderId="3" xfId="1" applyNumberFormat="1" applyFont="1" applyFill="1" applyBorder="1" applyAlignment="1"/>
    <xf numFmtId="166" fontId="13" fillId="0" borderId="3" xfId="1" applyNumberFormat="1" applyFont="1" applyFill="1" applyBorder="1"/>
    <xf numFmtId="165" fontId="6" fillId="0" borderId="3" xfId="1" applyNumberFormat="1" applyFont="1" applyFill="1" applyBorder="1" applyAlignment="1"/>
    <xf numFmtId="166" fontId="6" fillId="0" borderId="3" xfId="1" applyNumberFormat="1" applyFont="1" applyFill="1" applyBorder="1" applyAlignment="1"/>
    <xf numFmtId="166" fontId="6" fillId="0" borderId="4" xfId="1" applyNumberFormat="1" applyFont="1" applyFill="1" applyBorder="1" applyAlignment="1"/>
    <xf numFmtId="165" fontId="6" fillId="0" borderId="7" xfId="1" applyNumberFormat="1" applyFont="1" applyFill="1" applyBorder="1" applyAlignment="1"/>
    <xf numFmtId="165" fontId="13" fillId="0" borderId="3" xfId="1" applyNumberFormat="1" applyFont="1" applyFill="1" applyBorder="1"/>
    <xf numFmtId="166" fontId="6" fillId="0" borderId="9" xfId="1" applyNumberFormat="1" applyFont="1" applyFill="1" applyBorder="1"/>
    <xf numFmtId="3" fontId="3" fillId="0" borderId="6" xfId="0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6" fontId="3" fillId="0" borderId="6" xfId="1" applyNumberFormat="1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3" fillId="0" borderId="3" xfId="1" applyNumberFormat="1" applyFont="1" applyFill="1" applyBorder="1" applyAlignment="1">
      <alignment vertical="center"/>
    </xf>
    <xf numFmtId="3" fontId="7" fillId="4" borderId="3" xfId="0" applyFont="1" applyFill="1" applyBorder="1" applyAlignment="1">
      <alignment vertical="center"/>
    </xf>
    <xf numFmtId="165" fontId="3" fillId="4" borderId="3" xfId="1" applyNumberFormat="1" applyFont="1" applyFill="1" applyBorder="1" applyAlignment="1">
      <alignment vertical="center"/>
    </xf>
    <xf numFmtId="166" fontId="3" fillId="4" borderId="3" xfId="1" applyNumberFormat="1" applyFont="1" applyFill="1" applyBorder="1" applyAlignment="1">
      <alignment vertical="center"/>
    </xf>
    <xf numFmtId="3" fontId="6" fillId="0" borderId="3" xfId="0" applyFont="1" applyFill="1" applyBorder="1" applyAlignment="1">
      <alignment vertical="center"/>
    </xf>
    <xf numFmtId="165" fontId="7" fillId="0" borderId="3" xfId="1" applyNumberFormat="1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165" fontId="6" fillId="0" borderId="9" xfId="1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/>
    <xf numFmtId="3" fontId="14" fillId="0" borderId="0" xfId="0" applyFont="1"/>
    <xf numFmtId="165" fontId="1" fillId="0" borderId="0" xfId="2" applyNumberFormat="1"/>
    <xf numFmtId="166" fontId="0" fillId="0" borderId="0" xfId="0" applyNumberFormat="1"/>
    <xf numFmtId="3" fontId="2" fillId="0" borderId="0" xfId="0" applyFont="1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4" fontId="0" fillId="0" borderId="0" xfId="0" applyNumberFormat="1"/>
    <xf numFmtId="3" fontId="15" fillId="0" borderId="0" xfId="0" applyFont="1"/>
    <xf numFmtId="3" fontId="1" fillId="0" borderId="0" xfId="0" applyFont="1"/>
    <xf numFmtId="164" fontId="1" fillId="0" borderId="0" xfId="2" applyNumberFormat="1"/>
    <xf numFmtId="166" fontId="1" fillId="0" borderId="3" xfId="1" applyNumberFormat="1" applyFont="1" applyFill="1" applyBorder="1" applyAlignment="1">
      <alignment vertical="center"/>
    </xf>
    <xf numFmtId="167" fontId="3" fillId="2" borderId="3" xfId="0" applyNumberFormat="1" applyFont="1" applyFill="1" applyBorder="1"/>
    <xf numFmtId="3" fontId="0" fillId="0" borderId="3" xfId="0" applyFont="1" applyFill="1" applyBorder="1"/>
    <xf numFmtId="165" fontId="0" fillId="0" borderId="6" xfId="0" applyNumberFormat="1" applyBorder="1"/>
    <xf numFmtId="166" fontId="18" fillId="0" borderId="3" xfId="1" applyNumberFormat="1" applyFont="1" applyFill="1" applyBorder="1"/>
    <xf numFmtId="3" fontId="5" fillId="0" borderId="7" xfId="0" applyFont="1" applyFill="1" applyBorder="1"/>
    <xf numFmtId="4" fontId="0" fillId="0" borderId="0" xfId="0" applyNumberFormat="1"/>
    <xf numFmtId="165" fontId="0" fillId="0" borderId="0" xfId="0" applyNumberFormat="1" applyFill="1"/>
    <xf numFmtId="166" fontId="10" fillId="0" borderId="7" xfId="1" applyNumberFormat="1" applyFont="1" applyFill="1" applyBorder="1" applyAlignment="1">
      <alignment horizontal="center"/>
    </xf>
    <xf numFmtId="165" fontId="19" fillId="0" borderId="4" xfId="0" applyNumberFormat="1" applyFont="1" applyBorder="1"/>
    <xf numFmtId="3" fontId="0" fillId="0" borderId="0" xfId="0" applyFill="1"/>
    <xf numFmtId="3" fontId="6" fillId="0" borderId="9" xfId="0" applyFont="1" applyFill="1" applyBorder="1"/>
    <xf numFmtId="165" fontId="6" fillId="0" borderId="9" xfId="1" applyNumberFormat="1" applyFont="1" applyFill="1" applyBorder="1"/>
    <xf numFmtId="166" fontId="6" fillId="0" borderId="10" xfId="1" applyNumberFormat="1" applyFont="1" applyFill="1" applyBorder="1"/>
    <xf numFmtId="166" fontId="0" fillId="0" borderId="3" xfId="0" applyNumberFormat="1" applyFill="1" applyBorder="1"/>
    <xf numFmtId="3" fontId="0" fillId="0" borderId="0" xfId="0" applyAlignment="1">
      <alignment horizontal="right"/>
    </xf>
    <xf numFmtId="3" fontId="0" fillId="0" borderId="0" xfId="0" applyFill="1" applyAlignment="1">
      <alignment horizontal="right"/>
    </xf>
    <xf numFmtId="164" fontId="4" fillId="5" borderId="2" xfId="2" applyNumberFormat="1" applyFont="1" applyFill="1" applyBorder="1" applyAlignment="1">
      <alignment horizontal="center" vertical="center" wrapText="1"/>
    </xf>
    <xf numFmtId="3" fontId="2" fillId="0" borderId="0" xfId="0" applyFont="1" applyAlignment="1">
      <alignment horizontal="center" vertical="center" wrapText="1"/>
    </xf>
    <xf numFmtId="3" fontId="1" fillId="0" borderId="1" xfId="0" applyFont="1" applyBorder="1" applyAlignment="1">
      <alignment horizontal="center" vertical="center" wrapText="1"/>
    </xf>
  </cellXfs>
  <cellStyles count="3">
    <cellStyle name="čárky" xfId="1" builtinId="3"/>
    <cellStyle name="měny" xfId="2" builtinId="4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58"/>
  <sheetViews>
    <sheetView tabSelected="1" zoomScaleNormal="100" zoomScaleSheetLayoutView="100" workbookViewId="0">
      <pane ySplit="6" topLeftCell="A176" activePane="bottomLeft" state="frozen"/>
      <selection pane="bottomLeft" activeCell="A5" sqref="A5:K5"/>
    </sheetView>
  </sheetViews>
  <sheetFormatPr defaultRowHeight="12.75"/>
  <cols>
    <col min="1" max="1" width="37.42578125" customWidth="1"/>
    <col min="2" max="2" width="18.7109375" style="80" hidden="1" customWidth="1"/>
    <col min="3" max="3" width="11.28515625" hidden="1" customWidth="1"/>
    <col min="4" max="4" width="11" customWidth="1"/>
    <col min="5" max="6" width="11.28515625" customWidth="1"/>
    <col min="7" max="7" width="11.28515625" hidden="1" customWidth="1"/>
    <col min="8" max="8" width="13.140625" hidden="1" customWidth="1"/>
    <col min="9" max="9" width="11.85546875" customWidth="1"/>
    <col min="10" max="11" width="11.28515625" hidden="1" customWidth="1"/>
  </cols>
  <sheetData>
    <row r="1" spans="1:13">
      <c r="I1" s="96" t="s">
        <v>175</v>
      </c>
    </row>
    <row r="2" spans="1:13" ht="9" customHeight="1"/>
    <row r="3" spans="1:13" ht="20.100000000000001" customHeight="1">
      <c r="A3" s="99" t="s">
        <v>178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3" ht="18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3" ht="15" customHeight="1" thickBo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3" ht="49.5" customHeight="1" thickBot="1">
      <c r="A6" s="1" t="s">
        <v>1</v>
      </c>
      <c r="B6" s="2" t="s">
        <v>2</v>
      </c>
      <c r="C6" s="2" t="s">
        <v>3</v>
      </c>
      <c r="D6" s="2" t="s">
        <v>117</v>
      </c>
      <c r="E6" s="2" t="s">
        <v>157</v>
      </c>
      <c r="F6" s="2" t="s">
        <v>155</v>
      </c>
      <c r="G6" s="2" t="s">
        <v>156</v>
      </c>
      <c r="H6" s="2" t="s">
        <v>153</v>
      </c>
      <c r="I6" s="98" t="s">
        <v>176</v>
      </c>
      <c r="J6" s="2" t="s">
        <v>4</v>
      </c>
      <c r="K6" s="2" t="s">
        <v>4</v>
      </c>
    </row>
    <row r="7" spans="1:13" ht="15" customHeight="1">
      <c r="A7" s="3" t="s">
        <v>5</v>
      </c>
      <c r="B7" s="4"/>
      <c r="C7" s="5"/>
      <c r="D7" s="6"/>
      <c r="E7" s="90"/>
      <c r="F7" s="90"/>
      <c r="G7" s="90" t="s">
        <v>154</v>
      </c>
      <c r="H7" s="84"/>
      <c r="I7" s="5"/>
      <c r="J7" s="5"/>
      <c r="K7" s="5"/>
    </row>
    <row r="8" spans="1:13">
      <c r="A8" s="7" t="s">
        <v>6</v>
      </c>
      <c r="B8" s="8">
        <v>2650000</v>
      </c>
      <c r="C8" s="9">
        <v>2865000</v>
      </c>
      <c r="D8" s="10">
        <v>2700000</v>
      </c>
      <c r="E8" s="10">
        <v>3019470.7</v>
      </c>
      <c r="F8" s="10">
        <v>2900000</v>
      </c>
      <c r="G8" s="10">
        <v>2930303.1</v>
      </c>
      <c r="H8" s="9">
        <v>2950000</v>
      </c>
      <c r="I8" s="9">
        <v>2990000</v>
      </c>
      <c r="J8" s="9"/>
      <c r="K8" s="9"/>
      <c r="M8" s="91"/>
    </row>
    <row r="9" spans="1:13" ht="9.75" customHeight="1">
      <c r="A9" s="11" t="s">
        <v>8</v>
      </c>
      <c r="B9" s="12"/>
      <c r="C9" s="13"/>
      <c r="D9" s="14"/>
      <c r="E9" s="14"/>
      <c r="F9" s="14"/>
      <c r="G9" s="14"/>
      <c r="H9" s="13"/>
      <c r="I9" s="13"/>
      <c r="J9" s="13"/>
      <c r="K9" s="13"/>
    </row>
    <row r="10" spans="1:13">
      <c r="A10" s="83" t="s">
        <v>139</v>
      </c>
      <c r="B10" s="12"/>
      <c r="C10" s="13"/>
      <c r="D10" s="18"/>
      <c r="E10" s="18">
        <v>2975295.8</v>
      </c>
      <c r="F10" s="18"/>
      <c r="G10" s="18"/>
      <c r="H10" s="17"/>
      <c r="I10" s="17"/>
      <c r="J10" s="13"/>
      <c r="K10" s="13"/>
    </row>
    <row r="11" spans="1:13">
      <c r="A11" s="83" t="s">
        <v>140</v>
      </c>
      <c r="B11" s="12"/>
      <c r="C11" s="13"/>
      <c r="D11" s="18"/>
      <c r="E11" s="18">
        <v>40747.300000000003</v>
      </c>
      <c r="F11" s="18"/>
      <c r="G11" s="18">
        <v>30303.1</v>
      </c>
      <c r="H11" s="17"/>
      <c r="I11" s="17"/>
      <c r="J11" s="13"/>
      <c r="K11" s="13"/>
    </row>
    <row r="12" spans="1:13">
      <c r="A12" s="83" t="s">
        <v>141</v>
      </c>
      <c r="B12" s="12"/>
      <c r="C12" s="13"/>
      <c r="D12" s="18"/>
      <c r="E12" s="18">
        <v>1713.8</v>
      </c>
      <c r="F12" s="18"/>
      <c r="G12" s="18"/>
      <c r="H12" s="17"/>
      <c r="I12" s="17"/>
      <c r="J12" s="13"/>
      <c r="K12" s="13"/>
    </row>
    <row r="13" spans="1:13">
      <c r="A13" s="7" t="s">
        <v>7</v>
      </c>
      <c r="B13" s="8">
        <f>SUM(B15:B22)</f>
        <v>130753</v>
      </c>
      <c r="C13" s="9">
        <f>SUM(C15:C22)</f>
        <v>139525</v>
      </c>
      <c r="D13" s="10">
        <f t="shared" ref="D13" si="0">SUM(D15:D22)</f>
        <v>193247</v>
      </c>
      <c r="E13" s="9">
        <f t="shared" ref="E13:K13" si="1">SUM(E15:E22)</f>
        <v>316946.2</v>
      </c>
      <c r="F13" s="10">
        <f t="shared" si="1"/>
        <v>215959.4</v>
      </c>
      <c r="G13" s="10">
        <f t="shared" si="1"/>
        <v>0</v>
      </c>
      <c r="H13" s="9">
        <f t="shared" si="1"/>
        <v>213741.1</v>
      </c>
      <c r="I13" s="9">
        <f t="shared" ref="I13" si="2">SUM(I15:I22)</f>
        <v>213741.1</v>
      </c>
      <c r="J13" s="9">
        <f t="shared" si="1"/>
        <v>0</v>
      </c>
      <c r="K13" s="9">
        <f t="shared" si="1"/>
        <v>0</v>
      </c>
    </row>
    <row r="14" spans="1:13" ht="9.9499999999999993" customHeight="1">
      <c r="A14" s="11" t="s">
        <v>8</v>
      </c>
      <c r="B14" s="12"/>
      <c r="C14" s="13"/>
      <c r="D14" s="14"/>
      <c r="E14" s="14"/>
      <c r="F14" s="14"/>
      <c r="G14" s="14"/>
      <c r="H14" s="13"/>
      <c r="I14" s="13"/>
      <c r="J14" s="13"/>
      <c r="K14" s="13"/>
    </row>
    <row r="15" spans="1:13">
      <c r="A15" s="15" t="s">
        <v>9</v>
      </c>
      <c r="B15" s="16">
        <v>9000</v>
      </c>
      <c r="C15" s="17">
        <v>15000</v>
      </c>
      <c r="D15" s="18">
        <v>10000</v>
      </c>
      <c r="E15" s="18">
        <v>6522.1</v>
      </c>
      <c r="F15" s="18">
        <v>4000</v>
      </c>
      <c r="G15" s="18"/>
      <c r="H15" s="17">
        <v>4000</v>
      </c>
      <c r="I15" s="17">
        <v>4000</v>
      </c>
      <c r="J15" s="17"/>
      <c r="K15" s="17"/>
    </row>
    <row r="16" spans="1:13">
      <c r="A16" s="15" t="s">
        <v>118</v>
      </c>
      <c r="B16" s="16">
        <v>4187</v>
      </c>
      <c r="C16" s="17">
        <v>1245</v>
      </c>
      <c r="D16" s="18"/>
      <c r="E16" s="18">
        <v>27074</v>
      </c>
      <c r="F16" s="18"/>
      <c r="G16" s="18"/>
      <c r="H16" s="17"/>
      <c r="I16" s="17"/>
      <c r="J16" s="17"/>
      <c r="K16" s="17"/>
    </row>
    <row r="17" spans="1:14">
      <c r="A17" s="15" t="s">
        <v>10</v>
      </c>
      <c r="B17" s="16">
        <v>40000</v>
      </c>
      <c r="C17" s="17">
        <v>45000</v>
      </c>
      <c r="D17" s="18">
        <v>45000</v>
      </c>
      <c r="E17" s="18">
        <v>33581.699999999997</v>
      </c>
      <c r="F17" s="18">
        <v>45000</v>
      </c>
      <c r="G17" s="18"/>
      <c r="H17" s="17">
        <v>45000</v>
      </c>
      <c r="I17" s="17">
        <v>45000</v>
      </c>
      <c r="J17" s="17"/>
      <c r="K17" s="17"/>
    </row>
    <row r="18" spans="1:14">
      <c r="A18" s="15" t="s">
        <v>151</v>
      </c>
      <c r="B18" s="16"/>
      <c r="C18" s="17"/>
      <c r="D18" s="18">
        <v>60000</v>
      </c>
      <c r="E18" s="18">
        <v>60601</v>
      </c>
      <c r="F18" s="18">
        <v>54000</v>
      </c>
      <c r="G18" s="18"/>
      <c r="H18" s="17">
        <v>54000</v>
      </c>
      <c r="I18" s="17">
        <v>54000</v>
      </c>
      <c r="J18" s="17"/>
      <c r="K18" s="17"/>
    </row>
    <row r="19" spans="1:14">
      <c r="A19" s="15" t="s">
        <v>152</v>
      </c>
      <c r="B19" s="16"/>
      <c r="C19" s="17"/>
      <c r="D19" s="18"/>
      <c r="E19" s="18">
        <v>21662.7</v>
      </c>
      <c r="F19" s="18">
        <v>22000</v>
      </c>
      <c r="G19" s="18"/>
      <c r="H19" s="17">
        <v>21635.1</v>
      </c>
      <c r="I19" s="17">
        <v>21635.1</v>
      </c>
      <c r="J19" s="17"/>
      <c r="K19" s="17"/>
    </row>
    <row r="20" spans="1:14">
      <c r="A20" s="15" t="s">
        <v>158</v>
      </c>
      <c r="B20" s="16"/>
      <c r="C20" s="17"/>
      <c r="D20" s="18"/>
      <c r="E20" s="18">
        <v>4208.1000000000004</v>
      </c>
      <c r="F20" s="18"/>
      <c r="G20" s="18"/>
      <c r="H20" s="17"/>
      <c r="I20" s="17"/>
      <c r="J20" s="17"/>
      <c r="K20" s="17"/>
    </row>
    <row r="21" spans="1:14">
      <c r="A21" s="15" t="s">
        <v>119</v>
      </c>
      <c r="B21" s="16"/>
      <c r="C21" s="17"/>
      <c r="D21" s="18"/>
      <c r="E21" s="18">
        <v>12996.8</v>
      </c>
      <c r="F21" s="18"/>
      <c r="G21" s="18"/>
      <c r="H21" s="17"/>
      <c r="I21" s="17"/>
      <c r="J21" s="17"/>
      <c r="K21" s="17"/>
    </row>
    <row r="22" spans="1:14">
      <c r="A22" s="15" t="s">
        <v>11</v>
      </c>
      <c r="B22" s="16">
        <f t="shared" ref="B22:J22" si="3">SUM(B23:B27)</f>
        <v>77566</v>
      </c>
      <c r="C22" s="17">
        <f t="shared" si="3"/>
        <v>78280</v>
      </c>
      <c r="D22" s="18">
        <f t="shared" ref="D22" si="4">SUM(D23:D27)</f>
        <v>78247</v>
      </c>
      <c r="E22" s="17">
        <f t="shared" si="3"/>
        <v>150299.80000000002</v>
      </c>
      <c r="F22" s="18">
        <f t="shared" si="3"/>
        <v>90959.4</v>
      </c>
      <c r="G22" s="18">
        <f t="shared" si="3"/>
        <v>0</v>
      </c>
      <c r="H22" s="17">
        <f t="shared" ref="H22:I22" si="5">SUM(H23:H27)</f>
        <v>89106</v>
      </c>
      <c r="I22" s="17">
        <f t="shared" si="5"/>
        <v>89106</v>
      </c>
      <c r="J22" s="17">
        <f t="shared" si="3"/>
        <v>0</v>
      </c>
      <c r="K22" s="17">
        <f>SUM(K23:K27)</f>
        <v>0</v>
      </c>
    </row>
    <row r="23" spans="1:14">
      <c r="A23" s="15" t="s">
        <v>12</v>
      </c>
      <c r="B23" s="16">
        <v>26718</v>
      </c>
      <c r="C23" s="17">
        <v>26718</v>
      </c>
      <c r="D23" s="17">
        <v>26718</v>
      </c>
      <c r="E23" s="17">
        <v>32533.9</v>
      </c>
      <c r="F23" s="17">
        <v>26718</v>
      </c>
      <c r="G23" s="17"/>
      <c r="H23" s="17">
        <v>26718</v>
      </c>
      <c r="I23" s="17">
        <v>26718</v>
      </c>
      <c r="J23" s="17"/>
      <c r="K23" s="17"/>
    </row>
    <row r="24" spans="1:14">
      <c r="A24" s="15" t="s">
        <v>142</v>
      </c>
      <c r="B24" s="16"/>
      <c r="C24" s="17"/>
      <c r="D24" s="17"/>
      <c r="E24" s="17">
        <v>57701.3</v>
      </c>
      <c r="F24" s="17">
        <v>7293.4</v>
      </c>
      <c r="G24" s="17"/>
      <c r="H24" s="17">
        <v>10000</v>
      </c>
      <c r="I24" s="17">
        <v>10000</v>
      </c>
      <c r="J24" s="17"/>
      <c r="K24" s="17"/>
      <c r="N24" s="78"/>
    </row>
    <row r="25" spans="1:14">
      <c r="A25" s="15" t="s">
        <v>13</v>
      </c>
      <c r="B25" s="16">
        <v>25574</v>
      </c>
      <c r="C25" s="17">
        <v>26030</v>
      </c>
      <c r="D25" s="17">
        <v>23685</v>
      </c>
      <c r="E25" s="17">
        <v>23685</v>
      </c>
      <c r="F25" s="17">
        <v>21621</v>
      </c>
      <c r="G25" s="17"/>
      <c r="H25" s="17">
        <v>16250</v>
      </c>
      <c r="I25" s="17">
        <v>16250</v>
      </c>
      <c r="J25" s="17"/>
      <c r="K25" s="17"/>
    </row>
    <row r="26" spans="1:14">
      <c r="A26" s="15" t="s">
        <v>14</v>
      </c>
      <c r="B26" s="16">
        <v>4720</v>
      </c>
      <c r="C26" s="17">
        <v>4175</v>
      </c>
      <c r="D26" s="17">
        <v>10243</v>
      </c>
      <c r="E26" s="17">
        <v>10265.5</v>
      </c>
      <c r="F26" s="17">
        <v>8154</v>
      </c>
      <c r="G26" s="17"/>
      <c r="H26" s="17">
        <v>8154</v>
      </c>
      <c r="I26" s="17">
        <v>8154</v>
      </c>
      <c r="J26" s="17"/>
      <c r="K26" s="17"/>
    </row>
    <row r="27" spans="1:14">
      <c r="A27" s="15" t="s">
        <v>15</v>
      </c>
      <c r="B27" s="16">
        <v>20554</v>
      </c>
      <c r="C27" s="17">
        <v>21357</v>
      </c>
      <c r="D27" s="17">
        <v>17601</v>
      </c>
      <c r="E27" s="17">
        <v>26114.1</v>
      </c>
      <c r="F27" s="17">
        <v>27173</v>
      </c>
      <c r="G27" s="17"/>
      <c r="H27" s="17">
        <v>27984</v>
      </c>
      <c r="I27" s="17">
        <v>27984</v>
      </c>
      <c r="J27" s="17"/>
      <c r="K27" s="17"/>
    </row>
    <row r="28" spans="1:14">
      <c r="A28" s="7" t="s">
        <v>120</v>
      </c>
      <c r="B28" s="16"/>
      <c r="C28" s="17"/>
      <c r="D28" s="7"/>
      <c r="E28" s="82">
        <v>42275.199999999997</v>
      </c>
      <c r="F28" s="82">
        <v>18706.599999999999</v>
      </c>
      <c r="G28" s="7"/>
      <c r="H28" s="82">
        <v>18706.599999999999</v>
      </c>
      <c r="I28" s="82">
        <v>18706.599999999999</v>
      </c>
      <c r="J28" s="7"/>
      <c r="K28" s="7"/>
    </row>
    <row r="29" spans="1:14">
      <c r="A29" s="7" t="s">
        <v>16</v>
      </c>
      <c r="B29" s="8">
        <f t="shared" ref="B29:E29" si="6">SUM(B31:B32)</f>
        <v>79147</v>
      </c>
      <c r="C29" s="9">
        <f t="shared" si="6"/>
        <v>78247</v>
      </c>
      <c r="D29" s="10">
        <f>SUM(D31:D32)</f>
        <v>81932</v>
      </c>
      <c r="E29" s="9">
        <f t="shared" si="6"/>
        <v>83956.9</v>
      </c>
      <c r="F29" s="10">
        <f t="shared" ref="F29:K29" si="7">SUM(F31:F32)</f>
        <v>74800</v>
      </c>
      <c r="G29" s="10">
        <f t="shared" si="7"/>
        <v>0</v>
      </c>
      <c r="H29" s="9">
        <f t="shared" si="7"/>
        <v>74800</v>
      </c>
      <c r="I29" s="9">
        <f t="shared" si="7"/>
        <v>72553</v>
      </c>
      <c r="J29" s="9">
        <f t="shared" si="7"/>
        <v>0</v>
      </c>
      <c r="K29" s="9">
        <f t="shared" si="7"/>
        <v>0</v>
      </c>
    </row>
    <row r="30" spans="1:14" ht="9.9499999999999993" customHeight="1">
      <c r="A30" s="11" t="s">
        <v>17</v>
      </c>
      <c r="B30" s="16"/>
      <c r="C30" s="13"/>
      <c r="D30" s="14"/>
      <c r="E30" s="14"/>
      <c r="F30" s="14"/>
      <c r="G30" s="14"/>
      <c r="H30" s="13"/>
      <c r="I30" s="13"/>
      <c r="J30" s="13"/>
      <c r="K30" s="13"/>
    </row>
    <row r="31" spans="1:14">
      <c r="A31" s="15" t="s">
        <v>18</v>
      </c>
      <c r="B31" s="16">
        <v>78997</v>
      </c>
      <c r="C31" s="17">
        <v>78097</v>
      </c>
      <c r="D31" s="18">
        <v>81782</v>
      </c>
      <c r="E31" s="18">
        <v>81782</v>
      </c>
      <c r="F31" s="18">
        <v>74650</v>
      </c>
      <c r="G31" s="18"/>
      <c r="H31" s="17">
        <v>74650</v>
      </c>
      <c r="I31" s="17">
        <f>74650-3300+953</f>
        <v>72303</v>
      </c>
      <c r="J31" s="17"/>
      <c r="K31" s="17"/>
    </row>
    <row r="32" spans="1:14" ht="13.5" thickBot="1">
      <c r="A32" s="15" t="s">
        <v>19</v>
      </c>
      <c r="B32" s="16">
        <v>150</v>
      </c>
      <c r="C32" s="17">
        <v>150</v>
      </c>
      <c r="D32" s="18">
        <v>150</v>
      </c>
      <c r="E32" s="18">
        <v>2174.9</v>
      </c>
      <c r="F32" s="18">
        <v>150</v>
      </c>
      <c r="G32" s="18"/>
      <c r="H32" s="17">
        <v>150</v>
      </c>
      <c r="I32" s="17">
        <v>250</v>
      </c>
      <c r="J32" s="17"/>
      <c r="K32" s="17"/>
    </row>
    <row r="33" spans="1:11" ht="21.75" customHeight="1" thickBot="1">
      <c r="A33" s="19" t="s">
        <v>20</v>
      </c>
      <c r="B33" s="20">
        <f>B8+B13+B29</f>
        <v>2859900</v>
      </c>
      <c r="C33" s="21">
        <f>C8+C13+C29</f>
        <v>3082772</v>
      </c>
      <c r="D33" s="21">
        <f t="shared" ref="D33" si="8">D8+D13+D29+D28</f>
        <v>2975179</v>
      </c>
      <c r="E33" s="21">
        <f t="shared" ref="E33:K33" si="9">E8+E13+E29+E28</f>
        <v>3462649.0000000005</v>
      </c>
      <c r="F33" s="21">
        <f t="shared" si="9"/>
        <v>3209466</v>
      </c>
      <c r="G33" s="21">
        <f t="shared" si="9"/>
        <v>2930303.1</v>
      </c>
      <c r="H33" s="21">
        <f t="shared" si="9"/>
        <v>3257247.7</v>
      </c>
      <c r="I33" s="21">
        <f t="shared" ref="I33" si="10">I8+I13+I29+I28</f>
        <v>3295000.7</v>
      </c>
      <c r="J33" s="21">
        <f t="shared" si="9"/>
        <v>0</v>
      </c>
      <c r="K33" s="21">
        <f t="shared" si="9"/>
        <v>0</v>
      </c>
    </row>
    <row r="34" spans="1:11" ht="21.95" customHeight="1" thickTop="1">
      <c r="A34" s="22" t="s">
        <v>21</v>
      </c>
      <c r="B34" s="16"/>
      <c r="C34" s="27"/>
      <c r="D34" s="28"/>
      <c r="E34" s="28"/>
      <c r="F34" s="28"/>
      <c r="G34" s="28"/>
      <c r="H34" s="27"/>
      <c r="I34" s="27"/>
      <c r="J34" s="23"/>
      <c r="K34" s="23"/>
    </row>
    <row r="35" spans="1:11" ht="20.100000000000001" customHeight="1">
      <c r="A35" s="7" t="s">
        <v>22</v>
      </c>
      <c r="B35" s="8">
        <f>B36</f>
        <v>39100</v>
      </c>
      <c r="C35" s="9">
        <f t="shared" ref="C35:H35" si="11">C36+C44</f>
        <v>45200</v>
      </c>
      <c r="D35" s="9">
        <f t="shared" ref="D35" si="12">D36+D44</f>
        <v>41579</v>
      </c>
      <c r="E35" s="9">
        <f t="shared" si="11"/>
        <v>50260.7</v>
      </c>
      <c r="F35" s="9">
        <f t="shared" si="11"/>
        <v>43400</v>
      </c>
      <c r="G35" s="9">
        <f t="shared" si="11"/>
        <v>0</v>
      </c>
      <c r="H35" s="9">
        <f t="shared" si="11"/>
        <v>41050</v>
      </c>
      <c r="I35" s="9">
        <f t="shared" ref="I35" si="13">I36+I44</f>
        <v>44635</v>
      </c>
      <c r="J35" s="9">
        <f t="shared" ref="J35" si="14">J36+J44</f>
        <v>0</v>
      </c>
      <c r="K35" s="9">
        <f t="shared" ref="K35" si="15">K36+K44</f>
        <v>0</v>
      </c>
    </row>
    <row r="36" spans="1:11" ht="15" customHeight="1">
      <c r="A36" s="24" t="s">
        <v>23</v>
      </c>
      <c r="B36" s="25">
        <f t="shared" ref="B36:K36" si="16">SUM(B38:B43)</f>
        <v>39100</v>
      </c>
      <c r="C36" s="26">
        <f t="shared" si="16"/>
        <v>45200</v>
      </c>
      <c r="D36" s="26">
        <f t="shared" ref="D36" si="17">SUM(D38:D43)</f>
        <v>41579</v>
      </c>
      <c r="E36" s="26">
        <f t="shared" si="16"/>
        <v>50105.7</v>
      </c>
      <c r="F36" s="26">
        <f t="shared" si="16"/>
        <v>40400</v>
      </c>
      <c r="G36" s="26">
        <f t="shared" si="16"/>
        <v>0</v>
      </c>
      <c r="H36" s="26">
        <f t="shared" si="16"/>
        <v>41050</v>
      </c>
      <c r="I36" s="26">
        <f t="shared" ref="I36" si="18">SUM(I38:I43)</f>
        <v>44635</v>
      </c>
      <c r="J36" s="26">
        <f t="shared" si="16"/>
        <v>0</v>
      </c>
      <c r="K36" s="26">
        <f t="shared" si="16"/>
        <v>0</v>
      </c>
    </row>
    <row r="37" spans="1:11" ht="11.1" customHeight="1">
      <c r="A37" s="11" t="s">
        <v>17</v>
      </c>
      <c r="B37" s="16"/>
      <c r="C37" s="27"/>
      <c r="D37" s="28"/>
      <c r="E37" s="28"/>
      <c r="F37" s="28"/>
      <c r="G37" s="28"/>
      <c r="H37" s="27"/>
      <c r="I37" s="27"/>
      <c r="J37" s="27"/>
      <c r="K37" s="27"/>
    </row>
    <row r="38" spans="1:11" ht="12.75" customHeight="1">
      <c r="A38" s="15" t="s">
        <v>24</v>
      </c>
      <c r="B38" s="16">
        <v>15889</v>
      </c>
      <c r="C38" s="17">
        <v>20247</v>
      </c>
      <c r="D38" s="18">
        <v>18746.2</v>
      </c>
      <c r="E38" s="18">
        <v>16736.2</v>
      </c>
      <c r="F38" s="18">
        <v>18747</v>
      </c>
      <c r="G38" s="18"/>
      <c r="H38" s="17">
        <v>18647</v>
      </c>
      <c r="I38" s="17">
        <v>19432</v>
      </c>
      <c r="J38" s="17"/>
      <c r="K38" s="17"/>
    </row>
    <row r="39" spans="1:11" ht="12.75" customHeight="1">
      <c r="A39" s="15" t="s">
        <v>25</v>
      </c>
      <c r="B39" s="16">
        <v>3761</v>
      </c>
      <c r="C39" s="17">
        <v>5039</v>
      </c>
      <c r="D39" s="18">
        <v>4767</v>
      </c>
      <c r="E39" s="18">
        <v>4561.3999999999996</v>
      </c>
      <c r="F39" s="18">
        <v>4767</v>
      </c>
      <c r="G39" s="18"/>
      <c r="H39" s="17">
        <v>4442</v>
      </c>
      <c r="I39" s="17">
        <v>4442</v>
      </c>
      <c r="J39" s="17"/>
      <c r="K39" s="17"/>
    </row>
    <row r="40" spans="1:11" ht="12.75" customHeight="1">
      <c r="A40" s="15" t="s">
        <v>26</v>
      </c>
      <c r="B40" s="16">
        <v>1500</v>
      </c>
      <c r="C40" s="17">
        <v>1800</v>
      </c>
      <c r="D40" s="18">
        <v>1206</v>
      </c>
      <c r="E40" s="18">
        <v>1024.3</v>
      </c>
      <c r="F40" s="18">
        <v>1150</v>
      </c>
      <c r="G40" s="18"/>
      <c r="H40" s="17">
        <v>1350</v>
      </c>
      <c r="I40" s="17">
        <v>1350</v>
      </c>
      <c r="J40" s="17"/>
      <c r="K40" s="17"/>
    </row>
    <row r="41" spans="1:11" ht="12.75" customHeight="1">
      <c r="A41" s="15" t="s">
        <v>27</v>
      </c>
      <c r="B41" s="16">
        <v>7950</v>
      </c>
      <c r="C41" s="17">
        <v>7464</v>
      </c>
      <c r="D41" s="18">
        <v>8104.8</v>
      </c>
      <c r="E41" s="18">
        <v>10360.5</v>
      </c>
      <c r="F41" s="18">
        <v>7581</v>
      </c>
      <c r="G41" s="18"/>
      <c r="H41" s="17">
        <f>8131+325</f>
        <v>8456</v>
      </c>
      <c r="I41" s="17">
        <f>8456+1600+200</f>
        <v>10256</v>
      </c>
      <c r="J41" s="17"/>
      <c r="K41" s="17"/>
    </row>
    <row r="42" spans="1:11" ht="12.75" customHeight="1">
      <c r="A42" s="15" t="s">
        <v>159</v>
      </c>
      <c r="B42" s="16">
        <v>2000</v>
      </c>
      <c r="C42" s="17">
        <v>2000</v>
      </c>
      <c r="D42" s="18">
        <v>2000</v>
      </c>
      <c r="E42" s="18">
        <v>1599.5</v>
      </c>
      <c r="F42" s="18">
        <v>500</v>
      </c>
      <c r="G42" s="18"/>
      <c r="H42" s="17">
        <v>500</v>
      </c>
      <c r="I42" s="17">
        <v>500</v>
      </c>
      <c r="J42" s="17"/>
      <c r="K42" s="17"/>
    </row>
    <row r="43" spans="1:11" ht="12.75" customHeight="1">
      <c r="A43" s="15" t="s">
        <v>28</v>
      </c>
      <c r="B43" s="16">
        <v>8000</v>
      </c>
      <c r="C43" s="17">
        <v>8650</v>
      </c>
      <c r="D43" s="18">
        <v>6755</v>
      </c>
      <c r="E43" s="18">
        <v>15823.8</v>
      </c>
      <c r="F43" s="18">
        <v>7655</v>
      </c>
      <c r="G43" s="18"/>
      <c r="H43" s="17">
        <v>7655</v>
      </c>
      <c r="I43" s="17">
        <f>7655+1000</f>
        <v>8655</v>
      </c>
      <c r="J43" s="17"/>
      <c r="K43" s="17"/>
    </row>
    <row r="44" spans="1:11" ht="12.75" customHeight="1">
      <c r="A44" s="24" t="s">
        <v>29</v>
      </c>
      <c r="B44" s="25">
        <f>B47</f>
        <v>40000</v>
      </c>
      <c r="C44" s="26">
        <f>C47</f>
        <v>0</v>
      </c>
      <c r="D44" s="26">
        <f t="shared" ref="D44" si="19">D47+D46</f>
        <v>0</v>
      </c>
      <c r="E44" s="26">
        <f t="shared" ref="E44:K44" si="20">E47+E46</f>
        <v>155</v>
      </c>
      <c r="F44" s="26">
        <f t="shared" si="20"/>
        <v>3000</v>
      </c>
      <c r="G44" s="26">
        <f t="shared" si="20"/>
        <v>0</v>
      </c>
      <c r="H44" s="26">
        <f t="shared" si="20"/>
        <v>0</v>
      </c>
      <c r="I44" s="26">
        <f t="shared" ref="I44" si="21">I47+I46</f>
        <v>0</v>
      </c>
      <c r="J44" s="26">
        <f t="shared" si="20"/>
        <v>0</v>
      </c>
      <c r="K44" s="26">
        <f t="shared" si="20"/>
        <v>0</v>
      </c>
    </row>
    <row r="45" spans="1:11" ht="9" customHeight="1">
      <c r="A45" s="11" t="s">
        <v>17</v>
      </c>
      <c r="B45" s="12"/>
      <c r="C45" s="27"/>
      <c r="D45" s="28"/>
      <c r="E45" s="28"/>
      <c r="F45" s="28"/>
      <c r="G45" s="28"/>
      <c r="H45" s="27"/>
      <c r="I45" s="27"/>
      <c r="J45" s="27"/>
      <c r="K45" s="27"/>
    </row>
    <row r="46" spans="1:11" ht="12.75" customHeight="1">
      <c r="A46" s="15" t="s">
        <v>28</v>
      </c>
      <c r="B46" s="12"/>
      <c r="C46" s="27"/>
      <c r="D46" s="28"/>
      <c r="E46" s="28">
        <v>155</v>
      </c>
      <c r="F46" s="28"/>
      <c r="G46" s="28"/>
      <c r="H46" s="27"/>
      <c r="I46" s="27"/>
      <c r="J46" s="27"/>
      <c r="K46" s="27"/>
    </row>
    <row r="47" spans="1:11" ht="12.75" customHeight="1">
      <c r="A47" s="29" t="s">
        <v>163</v>
      </c>
      <c r="B47" s="30">
        <v>40000</v>
      </c>
      <c r="C47" s="31"/>
      <c r="D47" s="32"/>
      <c r="E47" s="32"/>
      <c r="F47" s="32">
        <v>3000</v>
      </c>
      <c r="G47" s="32"/>
      <c r="H47" s="31"/>
      <c r="I47" s="31"/>
      <c r="J47" s="31"/>
      <c r="K47" s="31"/>
    </row>
    <row r="48" spans="1:11" ht="20.100000000000001" customHeight="1">
      <c r="A48" s="7" t="s">
        <v>30</v>
      </c>
      <c r="B48" s="8">
        <f t="shared" ref="B48:C48" si="22">B49</f>
        <v>198688</v>
      </c>
      <c r="C48" s="9">
        <f t="shared" si="22"/>
        <v>244237</v>
      </c>
      <c r="D48" s="9">
        <f t="shared" ref="D48" si="23">D49+D58</f>
        <v>289093</v>
      </c>
      <c r="E48" s="9">
        <f t="shared" ref="E48:H48" si="24">E49+E58</f>
        <v>283920.19999999995</v>
      </c>
      <c r="F48" s="9">
        <f t="shared" si="24"/>
        <v>290626</v>
      </c>
      <c r="G48" s="9">
        <f t="shared" si="24"/>
        <v>0</v>
      </c>
      <c r="H48" s="9">
        <f t="shared" si="24"/>
        <v>292174.8</v>
      </c>
      <c r="I48" s="9">
        <f t="shared" ref="I48" si="25">I49+I58</f>
        <v>290074.80000000005</v>
      </c>
      <c r="J48" s="9">
        <f t="shared" ref="J48" si="26">J49+J58</f>
        <v>0</v>
      </c>
      <c r="K48" s="9">
        <f t="shared" ref="K48" si="27">K49+K58</f>
        <v>0</v>
      </c>
    </row>
    <row r="49" spans="1:11" ht="15" customHeight="1">
      <c r="A49" s="24" t="s">
        <v>121</v>
      </c>
      <c r="B49" s="25">
        <f t="shared" ref="B49:K49" si="28">SUM(B51:B57)</f>
        <v>198688</v>
      </c>
      <c r="C49" s="26">
        <f t="shared" si="28"/>
        <v>244237</v>
      </c>
      <c r="D49" s="26">
        <f t="shared" ref="D49" si="29">SUM(D51:D57)</f>
        <v>289093</v>
      </c>
      <c r="E49" s="26">
        <f t="shared" si="28"/>
        <v>283573.39999999997</v>
      </c>
      <c r="F49" s="26">
        <f t="shared" si="28"/>
        <v>290626</v>
      </c>
      <c r="G49" s="26">
        <f t="shared" si="28"/>
        <v>0</v>
      </c>
      <c r="H49" s="26">
        <f t="shared" si="28"/>
        <v>292174.8</v>
      </c>
      <c r="I49" s="26">
        <f t="shared" ref="I49" si="30">SUM(I51:I57)</f>
        <v>290074.80000000005</v>
      </c>
      <c r="J49" s="26">
        <f t="shared" si="28"/>
        <v>0</v>
      </c>
      <c r="K49" s="26">
        <f t="shared" si="28"/>
        <v>0</v>
      </c>
    </row>
    <row r="50" spans="1:11" ht="11.1" customHeight="1">
      <c r="A50" s="11" t="s">
        <v>17</v>
      </c>
      <c r="B50" s="16"/>
      <c r="C50" s="27"/>
      <c r="D50" s="28"/>
      <c r="E50" s="28"/>
      <c r="F50" s="28"/>
      <c r="G50" s="28"/>
      <c r="H50" s="27"/>
      <c r="I50" s="27"/>
      <c r="J50" s="27"/>
      <c r="K50" s="27"/>
    </row>
    <row r="51" spans="1:11" ht="12.75" customHeight="1">
      <c r="A51" s="15" t="s">
        <v>31</v>
      </c>
      <c r="B51" s="16">
        <v>112632</v>
      </c>
      <c r="C51" s="17">
        <v>118069</v>
      </c>
      <c r="D51" s="18">
        <v>134207</v>
      </c>
      <c r="E51" s="18">
        <v>133384.1</v>
      </c>
      <c r="F51" s="18">
        <v>134207</v>
      </c>
      <c r="G51" s="18"/>
      <c r="H51" s="17">
        <v>136307.1</v>
      </c>
      <c r="I51" s="17">
        <f>136307.1-2100.1</f>
        <v>134207</v>
      </c>
      <c r="J51" s="17"/>
      <c r="K51" s="17"/>
    </row>
    <row r="52" spans="1:11" ht="12.75" customHeight="1">
      <c r="A52" s="15" t="s">
        <v>25</v>
      </c>
      <c r="B52" s="16">
        <v>38192</v>
      </c>
      <c r="C52" s="17">
        <v>41383</v>
      </c>
      <c r="D52" s="18">
        <v>45436</v>
      </c>
      <c r="E52" s="18">
        <v>45136.4</v>
      </c>
      <c r="F52" s="18">
        <v>45321</v>
      </c>
      <c r="G52" s="18"/>
      <c r="H52" s="17">
        <v>45355.199999999997</v>
      </c>
      <c r="I52" s="17">
        <v>45355.199999999997</v>
      </c>
      <c r="J52" s="17"/>
      <c r="K52" s="17"/>
    </row>
    <row r="53" spans="1:11" ht="12.75" customHeight="1">
      <c r="A53" s="15" t="s">
        <v>32</v>
      </c>
      <c r="B53" s="16">
        <v>280</v>
      </c>
      <c r="C53" s="17">
        <v>280</v>
      </c>
      <c r="D53" s="18">
        <v>200</v>
      </c>
      <c r="E53" s="18">
        <v>154.69999999999999</v>
      </c>
      <c r="F53" s="18">
        <v>200</v>
      </c>
      <c r="G53" s="18"/>
      <c r="H53" s="17">
        <v>200</v>
      </c>
      <c r="I53" s="17">
        <v>200</v>
      </c>
      <c r="J53" s="17"/>
      <c r="K53" s="17"/>
    </row>
    <row r="54" spans="1:11" ht="12.75" customHeight="1">
      <c r="A54" s="15" t="s">
        <v>27</v>
      </c>
      <c r="B54" s="16">
        <v>41956</v>
      </c>
      <c r="C54" s="17">
        <v>43290</v>
      </c>
      <c r="D54" s="18">
        <v>35808</v>
      </c>
      <c r="E54" s="18">
        <v>32012.799999999999</v>
      </c>
      <c r="F54" s="18">
        <v>35864</v>
      </c>
      <c r="G54" s="18"/>
      <c r="H54" s="17">
        <f>4580.5+30738</f>
        <v>35318.5</v>
      </c>
      <c r="I54" s="17">
        <f>4580.6+30738</f>
        <v>35318.6</v>
      </c>
      <c r="J54" s="17"/>
      <c r="K54" s="17"/>
    </row>
    <row r="55" spans="1:11" ht="12.75" customHeight="1">
      <c r="A55" s="15" t="s">
        <v>33</v>
      </c>
      <c r="B55" s="16">
        <v>0</v>
      </c>
      <c r="C55" s="17">
        <v>40483</v>
      </c>
      <c r="D55" s="18">
        <v>73250</v>
      </c>
      <c r="E55" s="18">
        <v>72737.3</v>
      </c>
      <c r="F55" s="18">
        <v>74842</v>
      </c>
      <c r="G55" s="18"/>
      <c r="H55" s="17">
        <v>74842</v>
      </c>
      <c r="I55" s="17">
        <v>74842</v>
      </c>
      <c r="J55" s="17"/>
      <c r="K55" s="17"/>
    </row>
    <row r="56" spans="1:11" ht="12.75" customHeight="1">
      <c r="A56" s="15" t="s">
        <v>34</v>
      </c>
      <c r="B56" s="16">
        <v>152</v>
      </c>
      <c r="C56" s="17">
        <v>152</v>
      </c>
      <c r="D56" s="18">
        <v>152</v>
      </c>
      <c r="E56" s="18">
        <v>114.5</v>
      </c>
      <c r="F56" s="18">
        <v>152</v>
      </c>
      <c r="G56" s="18"/>
      <c r="H56" s="17">
        <v>152</v>
      </c>
      <c r="I56" s="17">
        <v>152</v>
      </c>
      <c r="J56" s="17"/>
      <c r="K56" s="17"/>
    </row>
    <row r="57" spans="1:11" ht="12.75" customHeight="1">
      <c r="A57" s="15" t="s">
        <v>35</v>
      </c>
      <c r="B57" s="16">
        <v>5476</v>
      </c>
      <c r="C57" s="17">
        <v>580</v>
      </c>
      <c r="D57" s="18">
        <v>40</v>
      </c>
      <c r="E57" s="18">
        <v>33.6</v>
      </c>
      <c r="F57" s="18">
        <v>40</v>
      </c>
      <c r="G57" s="18"/>
      <c r="H57" s="17"/>
      <c r="I57" s="17"/>
      <c r="J57" s="17"/>
      <c r="K57" s="17"/>
    </row>
    <row r="58" spans="1:11" ht="12.75" customHeight="1">
      <c r="A58" s="24" t="s">
        <v>29</v>
      </c>
      <c r="B58" s="16"/>
      <c r="C58" s="17"/>
      <c r="D58" s="85">
        <f t="shared" ref="D58" si="31">D60</f>
        <v>0</v>
      </c>
      <c r="E58" s="85">
        <f t="shared" ref="E58:K58" si="32">E60</f>
        <v>346.8</v>
      </c>
      <c r="F58" s="85">
        <f t="shared" si="32"/>
        <v>0</v>
      </c>
      <c r="G58" s="85">
        <f t="shared" si="32"/>
        <v>0</v>
      </c>
      <c r="H58" s="85">
        <f t="shared" si="32"/>
        <v>0</v>
      </c>
      <c r="I58" s="85">
        <f t="shared" ref="I58" si="33">I60</f>
        <v>0</v>
      </c>
      <c r="J58" s="85">
        <f t="shared" si="32"/>
        <v>0</v>
      </c>
      <c r="K58" s="85">
        <f t="shared" si="32"/>
        <v>0</v>
      </c>
    </row>
    <row r="59" spans="1:11" ht="9" customHeight="1">
      <c r="A59" s="11" t="s">
        <v>17</v>
      </c>
      <c r="B59" s="16"/>
      <c r="C59" s="17"/>
      <c r="D59" s="18"/>
      <c r="E59" s="18"/>
      <c r="F59" s="18"/>
      <c r="G59" s="18"/>
      <c r="H59" s="17"/>
      <c r="I59" s="17"/>
      <c r="J59" s="17"/>
      <c r="K59" s="17"/>
    </row>
    <row r="60" spans="1:11" ht="12.75" customHeight="1">
      <c r="A60" s="29" t="s">
        <v>39</v>
      </c>
      <c r="B60" s="30"/>
      <c r="C60" s="31"/>
      <c r="D60" s="32"/>
      <c r="E60" s="32">
        <v>346.8</v>
      </c>
      <c r="F60" s="32"/>
      <c r="G60" s="32"/>
      <c r="H60" s="31"/>
      <c r="I60" s="31"/>
      <c r="J60" s="31"/>
      <c r="K60" s="31"/>
    </row>
    <row r="61" spans="1:11" ht="18.95" customHeight="1">
      <c r="A61" s="7" t="s">
        <v>36</v>
      </c>
      <c r="B61" s="8">
        <f t="shared" ref="B61:H61" si="34">B62+B68</f>
        <v>128214</v>
      </c>
      <c r="C61" s="9">
        <f t="shared" si="34"/>
        <v>133200</v>
      </c>
      <c r="D61" s="9">
        <f t="shared" ref="D61" si="35">D62+D68</f>
        <v>130113</v>
      </c>
      <c r="E61" s="9">
        <f t="shared" si="34"/>
        <v>154352.90000000002</v>
      </c>
      <c r="F61" s="9">
        <f t="shared" si="34"/>
        <v>117857.4</v>
      </c>
      <c r="G61" s="9">
        <f t="shared" si="34"/>
        <v>0</v>
      </c>
      <c r="H61" s="9">
        <f t="shared" si="34"/>
        <v>127500</v>
      </c>
      <c r="I61" s="9">
        <f t="shared" ref="I61" si="36">I62+I68</f>
        <v>119705</v>
      </c>
      <c r="J61" s="9">
        <f t="shared" ref="J61" si="37">J62+J68</f>
        <v>0</v>
      </c>
      <c r="K61" s="9">
        <f t="shared" ref="K61" si="38">K62+K68</f>
        <v>0</v>
      </c>
    </row>
    <row r="62" spans="1:11" ht="15" customHeight="1">
      <c r="A62" s="24" t="s">
        <v>23</v>
      </c>
      <c r="B62" s="25">
        <f>SUM(B64:B67)</f>
        <v>88214</v>
      </c>
      <c r="C62" s="26">
        <f>SUM(C64:C67)</f>
        <v>88200</v>
      </c>
      <c r="D62" s="26">
        <f t="shared" ref="D62" si="39">SUM(D64:D67)</f>
        <v>85113</v>
      </c>
      <c r="E62" s="26">
        <f t="shared" ref="E62:H62" si="40">SUM(E64:E67)</f>
        <v>76351.100000000006</v>
      </c>
      <c r="F62" s="26">
        <f t="shared" si="40"/>
        <v>72857.399999999994</v>
      </c>
      <c r="G62" s="26">
        <f t="shared" si="40"/>
        <v>0</v>
      </c>
      <c r="H62" s="26">
        <f t="shared" si="40"/>
        <v>82500</v>
      </c>
      <c r="I62" s="26">
        <f t="shared" ref="I62" si="41">SUM(I64:I67)</f>
        <v>74705</v>
      </c>
      <c r="J62" s="26">
        <f>SUM(J64:J67)</f>
        <v>0</v>
      </c>
      <c r="K62" s="26">
        <f>SUM(K64:K67)</f>
        <v>0</v>
      </c>
    </row>
    <row r="63" spans="1:11" ht="11.1" customHeight="1">
      <c r="A63" s="11" t="s">
        <v>17</v>
      </c>
      <c r="B63" s="16"/>
      <c r="C63" s="27"/>
      <c r="D63" s="28"/>
      <c r="E63" s="28"/>
      <c r="F63" s="28"/>
      <c r="G63" s="28"/>
      <c r="H63" s="27"/>
      <c r="I63" s="95"/>
      <c r="J63" s="27"/>
      <c r="K63" s="27"/>
    </row>
    <row r="64" spans="1:11" ht="12.75" customHeight="1">
      <c r="A64" s="15" t="s">
        <v>168</v>
      </c>
      <c r="B64" s="16">
        <v>42319</v>
      </c>
      <c r="C64" s="17">
        <v>45000</v>
      </c>
      <c r="D64" s="18">
        <v>43213</v>
      </c>
      <c r="E64" s="18">
        <v>43213</v>
      </c>
      <c r="F64" s="18">
        <v>43152.4</v>
      </c>
      <c r="G64" s="18"/>
      <c r="H64" s="17">
        <v>45000</v>
      </c>
      <c r="I64" s="17">
        <v>45000</v>
      </c>
      <c r="J64" s="17"/>
      <c r="K64" s="17"/>
    </row>
    <row r="65" spans="1:11" ht="12.75" customHeight="1">
      <c r="A65" s="15" t="s">
        <v>122</v>
      </c>
      <c r="B65" s="16"/>
      <c r="C65" s="17"/>
      <c r="D65" s="18"/>
      <c r="E65" s="18">
        <v>3337.3</v>
      </c>
      <c r="F65" s="18"/>
      <c r="G65" s="18"/>
      <c r="H65" s="17"/>
      <c r="I65" s="17"/>
      <c r="J65" s="17"/>
      <c r="K65" s="17"/>
    </row>
    <row r="66" spans="1:11" ht="12.75" customHeight="1">
      <c r="A66" s="15" t="s">
        <v>37</v>
      </c>
      <c r="B66" s="16"/>
      <c r="C66" s="17"/>
      <c r="D66" s="18"/>
      <c r="E66" s="18">
        <v>1611.7</v>
      </c>
      <c r="F66" s="18"/>
      <c r="G66" s="18"/>
      <c r="H66" s="17"/>
      <c r="I66" s="17"/>
      <c r="J66" s="17"/>
      <c r="K66" s="17"/>
    </row>
    <row r="67" spans="1:11" ht="12.75" customHeight="1">
      <c r="A67" s="15" t="s">
        <v>27</v>
      </c>
      <c r="B67" s="16">
        <v>45895</v>
      </c>
      <c r="C67" s="17">
        <v>43200</v>
      </c>
      <c r="D67" s="18">
        <v>41900</v>
      </c>
      <c r="E67" s="18">
        <v>28189.1</v>
      </c>
      <c r="F67" s="18">
        <v>29705</v>
      </c>
      <c r="G67" s="18"/>
      <c r="H67" s="17">
        <v>37500</v>
      </c>
      <c r="I67" s="17">
        <v>29705</v>
      </c>
      <c r="J67" s="17"/>
      <c r="K67" s="17"/>
    </row>
    <row r="68" spans="1:11" ht="15" customHeight="1">
      <c r="A68" s="24" t="s">
        <v>29</v>
      </c>
      <c r="B68" s="25">
        <f>B70</f>
        <v>40000</v>
      </c>
      <c r="C68" s="26">
        <f t="shared" ref="C68:K68" si="42">SUM(C70:C73)</f>
        <v>45000</v>
      </c>
      <c r="D68" s="26">
        <f t="shared" ref="D68" si="43">SUM(D70:D73)</f>
        <v>45000</v>
      </c>
      <c r="E68" s="26">
        <f t="shared" si="42"/>
        <v>78001.8</v>
      </c>
      <c r="F68" s="26">
        <f t="shared" si="42"/>
        <v>45000</v>
      </c>
      <c r="G68" s="26">
        <f t="shared" si="42"/>
        <v>0</v>
      </c>
      <c r="H68" s="26">
        <f t="shared" si="42"/>
        <v>45000</v>
      </c>
      <c r="I68" s="26">
        <f t="shared" ref="I68" si="44">SUM(I70:I73)</f>
        <v>45000</v>
      </c>
      <c r="J68" s="26">
        <f t="shared" si="42"/>
        <v>0</v>
      </c>
      <c r="K68" s="26">
        <f t="shared" si="42"/>
        <v>0</v>
      </c>
    </row>
    <row r="69" spans="1:11" ht="11.1" customHeight="1">
      <c r="A69" s="11" t="s">
        <v>17</v>
      </c>
      <c r="B69" s="12"/>
      <c r="C69" s="27"/>
      <c r="D69" s="28"/>
      <c r="E69" s="28"/>
      <c r="F69" s="28"/>
      <c r="G69" s="28"/>
      <c r="H69" s="27"/>
      <c r="I69" s="95"/>
      <c r="J69" s="27"/>
      <c r="K69" s="27"/>
    </row>
    <row r="70" spans="1:11" ht="12.75" customHeight="1">
      <c r="A70" s="15" t="s">
        <v>37</v>
      </c>
      <c r="B70" s="16">
        <v>40000</v>
      </c>
      <c r="C70" s="17">
        <v>45000</v>
      </c>
      <c r="D70" s="18">
        <v>45000</v>
      </c>
      <c r="E70" s="18">
        <v>31176.799999999999</v>
      </c>
      <c r="F70" s="18">
        <v>45000</v>
      </c>
      <c r="G70" s="18"/>
      <c r="H70" s="17">
        <v>45000</v>
      </c>
      <c r="I70" s="17">
        <v>45000</v>
      </c>
      <c r="J70" s="17"/>
      <c r="K70" s="17"/>
    </row>
    <row r="71" spans="1:11" ht="12.75" customHeight="1">
      <c r="A71" s="15" t="s">
        <v>38</v>
      </c>
      <c r="B71" s="16"/>
      <c r="C71" s="17"/>
      <c r="D71" s="18"/>
      <c r="E71" s="18">
        <v>41529</v>
      </c>
      <c r="F71" s="18"/>
      <c r="G71" s="18"/>
      <c r="H71" s="17"/>
      <c r="I71" s="17"/>
      <c r="J71" s="17"/>
      <c r="K71" s="17"/>
    </row>
    <row r="72" spans="1:11" ht="12.75" customHeight="1">
      <c r="A72" s="29" t="s">
        <v>39</v>
      </c>
      <c r="B72" s="30"/>
      <c r="C72" s="31"/>
      <c r="D72" s="32"/>
      <c r="E72" s="32">
        <v>5296</v>
      </c>
      <c r="F72" s="32"/>
      <c r="G72" s="32"/>
      <c r="H72" s="31"/>
      <c r="I72" s="31"/>
      <c r="J72" s="31"/>
      <c r="K72" s="31"/>
    </row>
    <row r="73" spans="1:11" ht="12.75" hidden="1" customHeight="1">
      <c r="A73" s="29" t="s">
        <v>40</v>
      </c>
      <c r="B73" s="30"/>
      <c r="C73" s="31"/>
      <c r="D73" s="32"/>
      <c r="E73" s="32"/>
      <c r="F73" s="32"/>
      <c r="G73" s="32"/>
      <c r="H73" s="31"/>
      <c r="I73" s="31"/>
      <c r="J73" s="31"/>
      <c r="K73" s="31"/>
    </row>
    <row r="74" spans="1:11" ht="18.95" customHeight="1">
      <c r="A74" s="7" t="s">
        <v>41</v>
      </c>
      <c r="B74" s="8">
        <f t="shared" ref="B74:K74" si="45">B75</f>
        <v>3670</v>
      </c>
      <c r="C74" s="9">
        <f t="shared" si="45"/>
        <v>3670</v>
      </c>
      <c r="D74" s="9">
        <f t="shared" si="45"/>
        <v>3670</v>
      </c>
      <c r="E74" s="9">
        <f t="shared" si="45"/>
        <v>3651.2</v>
      </c>
      <c r="F74" s="9">
        <f t="shared" si="45"/>
        <v>4589</v>
      </c>
      <c r="G74" s="9">
        <f t="shared" si="45"/>
        <v>0</v>
      </c>
      <c r="H74" s="9">
        <f t="shared" si="45"/>
        <v>4589</v>
      </c>
      <c r="I74" s="9">
        <f t="shared" si="45"/>
        <v>9350</v>
      </c>
      <c r="J74" s="9">
        <f t="shared" si="45"/>
        <v>0</v>
      </c>
      <c r="K74" s="9">
        <f t="shared" si="45"/>
        <v>0</v>
      </c>
    </row>
    <row r="75" spans="1:11" ht="12.75" customHeight="1">
      <c r="A75" s="24" t="s">
        <v>23</v>
      </c>
      <c r="B75" s="25">
        <f>SUM(B78:B78)</f>
        <v>3670</v>
      </c>
      <c r="C75" s="26">
        <f>C78</f>
        <v>3670</v>
      </c>
      <c r="D75" s="26">
        <f t="shared" ref="D75" si="46">D78+D77</f>
        <v>3670</v>
      </c>
      <c r="E75" s="26">
        <f t="shared" ref="E75:H75" si="47">E78+E77</f>
        <v>3651.2</v>
      </c>
      <c r="F75" s="26">
        <f t="shared" si="47"/>
        <v>4589</v>
      </c>
      <c r="G75" s="26">
        <f t="shared" si="47"/>
        <v>0</v>
      </c>
      <c r="H75" s="26">
        <f t="shared" si="47"/>
        <v>4589</v>
      </c>
      <c r="I75" s="26">
        <f t="shared" ref="I75" si="48">I78+I77</f>
        <v>9350</v>
      </c>
      <c r="J75" s="26"/>
      <c r="K75" s="26"/>
    </row>
    <row r="76" spans="1:11" ht="10.5" customHeight="1">
      <c r="A76" s="11" t="s">
        <v>17</v>
      </c>
      <c r="B76" s="16"/>
      <c r="C76" s="27"/>
      <c r="D76" s="28"/>
      <c r="E76" s="28"/>
      <c r="F76" s="28"/>
      <c r="G76" s="28"/>
      <c r="H76" s="27"/>
      <c r="I76" s="95"/>
      <c r="J76" s="27"/>
      <c r="K76" s="27"/>
    </row>
    <row r="77" spans="1:11" ht="12.75" customHeight="1">
      <c r="A77" s="15" t="s">
        <v>122</v>
      </c>
      <c r="B77" s="16"/>
      <c r="C77" s="27"/>
      <c r="D77" s="28"/>
      <c r="E77" s="28">
        <v>1900</v>
      </c>
      <c r="F77" s="28"/>
      <c r="G77" s="28"/>
      <c r="H77" s="27"/>
      <c r="I77" s="95"/>
      <c r="J77" s="27"/>
      <c r="K77" s="27"/>
    </row>
    <row r="78" spans="1:11" ht="12.75" customHeight="1">
      <c r="A78" s="29" t="s">
        <v>27</v>
      </c>
      <c r="B78" s="30">
        <v>3670</v>
      </c>
      <c r="C78" s="31">
        <v>3670</v>
      </c>
      <c r="D78" s="32">
        <v>3670</v>
      </c>
      <c r="E78" s="32">
        <v>1751.2</v>
      </c>
      <c r="F78" s="32">
        <v>4589</v>
      </c>
      <c r="G78" s="32"/>
      <c r="H78" s="31">
        <v>4589</v>
      </c>
      <c r="I78" s="31">
        <f>4100+4650+600</f>
        <v>9350</v>
      </c>
      <c r="J78" s="31"/>
      <c r="K78" s="31"/>
    </row>
    <row r="79" spans="1:11" ht="18.95" customHeight="1">
      <c r="A79" s="7" t="s">
        <v>42</v>
      </c>
      <c r="B79" s="8">
        <f>B80</f>
        <v>942417</v>
      </c>
      <c r="C79" s="9">
        <f t="shared" ref="C79:D79" si="49">C80+C89</f>
        <v>939417</v>
      </c>
      <c r="D79" s="9">
        <f t="shared" si="49"/>
        <v>960245.6</v>
      </c>
      <c r="E79" s="9">
        <f t="shared" ref="E79:K79" si="50">E80+E89</f>
        <v>1106774.5999999999</v>
      </c>
      <c r="F79" s="9">
        <f t="shared" si="50"/>
        <v>991250</v>
      </c>
      <c r="G79" s="9">
        <f t="shared" si="50"/>
        <v>0</v>
      </c>
      <c r="H79" s="9">
        <f t="shared" si="50"/>
        <v>1152700</v>
      </c>
      <c r="I79" s="9">
        <f t="shared" si="50"/>
        <v>1122174.1000000001</v>
      </c>
      <c r="J79" s="9">
        <f t="shared" si="50"/>
        <v>0</v>
      </c>
      <c r="K79" s="9">
        <f t="shared" si="50"/>
        <v>0</v>
      </c>
    </row>
    <row r="80" spans="1:11" ht="15" customHeight="1">
      <c r="A80" s="24" t="s">
        <v>123</v>
      </c>
      <c r="B80" s="25">
        <f>SUM(B83:B88)</f>
        <v>942417</v>
      </c>
      <c r="C80" s="26">
        <f t="shared" ref="C80:J80" si="51">SUM(C82:C88)</f>
        <v>939417</v>
      </c>
      <c r="D80" s="26">
        <f t="shared" si="51"/>
        <v>960245.6</v>
      </c>
      <c r="E80" s="26">
        <f t="shared" ref="E80:H80" si="52">SUM(E82:E88)</f>
        <v>1087407.2999999998</v>
      </c>
      <c r="F80" s="26">
        <f t="shared" si="52"/>
        <v>976250</v>
      </c>
      <c r="G80" s="26">
        <f t="shared" si="52"/>
        <v>0</v>
      </c>
      <c r="H80" s="26">
        <f t="shared" si="52"/>
        <v>1137700</v>
      </c>
      <c r="I80" s="26">
        <f t="shared" si="51"/>
        <v>1091000</v>
      </c>
      <c r="J80" s="26">
        <f t="shared" si="51"/>
        <v>0</v>
      </c>
      <c r="K80" s="26">
        <f>SUM(K82:K88)</f>
        <v>0</v>
      </c>
    </row>
    <row r="81" spans="1:11" ht="8.25" customHeight="1">
      <c r="A81" s="11" t="s">
        <v>17</v>
      </c>
      <c r="B81" s="16"/>
      <c r="C81" s="27"/>
      <c r="D81" s="28"/>
      <c r="E81" s="28"/>
      <c r="F81" s="28"/>
      <c r="G81" s="28"/>
      <c r="H81" s="27"/>
      <c r="I81" s="27"/>
      <c r="J81" s="27"/>
      <c r="K81" s="27"/>
    </row>
    <row r="82" spans="1:11" ht="12.75" customHeight="1">
      <c r="A82" s="15" t="s">
        <v>43</v>
      </c>
      <c r="B82" s="16"/>
      <c r="C82" s="27"/>
      <c r="D82" s="28"/>
      <c r="E82" s="28"/>
      <c r="F82" s="28"/>
      <c r="G82" s="28"/>
      <c r="H82" s="27"/>
      <c r="I82" s="27"/>
      <c r="J82" s="27"/>
      <c r="K82" s="27"/>
    </row>
    <row r="83" spans="1:11" ht="12.75" customHeight="1">
      <c r="A83" s="15" t="s">
        <v>44</v>
      </c>
      <c r="B83" s="16">
        <v>202696</v>
      </c>
      <c r="C83" s="17">
        <v>202696</v>
      </c>
      <c r="D83" s="18">
        <v>243300</v>
      </c>
      <c r="E83" s="18">
        <v>268667.59999999998</v>
      </c>
      <c r="F83" s="18">
        <v>246074</v>
      </c>
      <c r="G83" s="18"/>
      <c r="H83" s="17">
        <v>280500</v>
      </c>
      <c r="I83" s="17">
        <v>266800</v>
      </c>
      <c r="J83" s="17"/>
      <c r="K83" s="17"/>
    </row>
    <row r="84" spans="1:11" ht="12.75" customHeight="1">
      <c r="A84" s="15" t="s">
        <v>45</v>
      </c>
      <c r="B84" s="16">
        <v>297535</v>
      </c>
      <c r="C84" s="17">
        <v>297535</v>
      </c>
      <c r="D84" s="18">
        <v>352370</v>
      </c>
      <c r="E84" s="18">
        <v>352395.8</v>
      </c>
      <c r="F84" s="18">
        <v>355796</v>
      </c>
      <c r="G84" s="18"/>
      <c r="H84" s="17">
        <v>363000</v>
      </c>
      <c r="I84" s="17">
        <v>363000</v>
      </c>
      <c r="J84" s="17"/>
      <c r="K84" s="17"/>
    </row>
    <row r="85" spans="1:11" ht="12.75" customHeight="1">
      <c r="A85" s="15" t="s">
        <v>46</v>
      </c>
      <c r="B85" s="33">
        <v>366000</v>
      </c>
      <c r="C85" s="17">
        <v>10000</v>
      </c>
      <c r="D85" s="18">
        <v>8000</v>
      </c>
      <c r="E85" s="18">
        <v>1000</v>
      </c>
      <c r="F85" s="18">
        <v>7600</v>
      </c>
      <c r="G85" s="18"/>
      <c r="H85" s="17">
        <v>6000</v>
      </c>
      <c r="I85" s="17">
        <v>6000</v>
      </c>
      <c r="J85" s="17"/>
      <c r="K85" s="17"/>
    </row>
    <row r="86" spans="1:11" ht="12.75" customHeight="1">
      <c r="A86" s="15" t="s">
        <v>169</v>
      </c>
      <c r="B86" s="16">
        <v>3000</v>
      </c>
      <c r="C86" s="17">
        <v>0</v>
      </c>
      <c r="D86" s="18">
        <v>5400</v>
      </c>
      <c r="E86" s="18">
        <v>5500</v>
      </c>
      <c r="F86" s="18">
        <v>5130</v>
      </c>
      <c r="G86" s="18"/>
      <c r="H86" s="17">
        <v>5400</v>
      </c>
      <c r="I86" s="17">
        <v>5400</v>
      </c>
      <c r="J86" s="17"/>
      <c r="K86" s="17"/>
    </row>
    <row r="87" spans="1:11" ht="12.75" hidden="1" customHeight="1">
      <c r="A87" s="15" t="s">
        <v>47</v>
      </c>
      <c r="B87" s="16">
        <v>67796</v>
      </c>
      <c r="C87" s="17">
        <v>67796</v>
      </c>
      <c r="D87" s="18"/>
      <c r="E87" s="18"/>
      <c r="F87" s="18"/>
      <c r="G87" s="18"/>
      <c r="H87" s="17"/>
      <c r="I87" s="17"/>
      <c r="J87" s="17"/>
      <c r="K87" s="17"/>
    </row>
    <row r="88" spans="1:11" ht="12.75" customHeight="1">
      <c r="A88" s="15" t="s">
        <v>27</v>
      </c>
      <c r="B88" s="16">
        <v>5390</v>
      </c>
      <c r="C88" s="17">
        <v>361390</v>
      </c>
      <c r="D88" s="18">
        <v>351175.6</v>
      </c>
      <c r="E88" s="18">
        <v>459843.9</v>
      </c>
      <c r="F88" s="18">
        <v>361650</v>
      </c>
      <c r="G88" s="18"/>
      <c r="H88" s="17">
        <v>482800</v>
      </c>
      <c r="I88" s="17">
        <v>449800</v>
      </c>
      <c r="J88" s="17"/>
      <c r="K88" s="17"/>
    </row>
    <row r="89" spans="1:11" ht="12.75" customHeight="1">
      <c r="A89" s="24" t="s">
        <v>29</v>
      </c>
      <c r="B89" s="25" t="e">
        <f>#REF!</f>
        <v>#REF!</v>
      </c>
      <c r="C89" s="26">
        <f>C93</f>
        <v>0</v>
      </c>
      <c r="D89" s="26">
        <f t="shared" ref="D89" si="53">D93+D91</f>
        <v>0</v>
      </c>
      <c r="E89" s="26">
        <f t="shared" ref="E89:K89" si="54">E93+E91</f>
        <v>19367.3</v>
      </c>
      <c r="F89" s="26">
        <f t="shared" si="54"/>
        <v>15000</v>
      </c>
      <c r="G89" s="26">
        <f t="shared" si="54"/>
        <v>0</v>
      </c>
      <c r="H89" s="26">
        <f t="shared" si="54"/>
        <v>15000</v>
      </c>
      <c r="I89" s="26">
        <f>I93+I91+I92</f>
        <v>31174.1</v>
      </c>
      <c r="J89" s="26">
        <f t="shared" si="54"/>
        <v>0</v>
      </c>
      <c r="K89" s="26">
        <f t="shared" si="54"/>
        <v>0</v>
      </c>
    </row>
    <row r="90" spans="1:11" ht="9.75" customHeight="1">
      <c r="A90" s="11" t="s">
        <v>17</v>
      </c>
      <c r="B90" s="16"/>
      <c r="C90" s="34"/>
      <c r="D90" s="35"/>
      <c r="E90" s="35"/>
      <c r="F90" s="35"/>
      <c r="G90" s="35"/>
      <c r="H90" s="34"/>
      <c r="I90" s="34"/>
      <c r="J90" s="34"/>
      <c r="K90" s="34"/>
    </row>
    <row r="91" spans="1:11" ht="12.75" customHeight="1">
      <c r="A91" s="15" t="s">
        <v>39</v>
      </c>
      <c r="B91" s="16"/>
      <c r="C91" s="34"/>
      <c r="D91" s="35"/>
      <c r="E91" s="35">
        <v>15467.3</v>
      </c>
      <c r="F91" s="35">
        <v>15000</v>
      </c>
      <c r="G91" s="35"/>
      <c r="H91" s="34">
        <v>15000</v>
      </c>
      <c r="I91" s="34">
        <v>15000</v>
      </c>
      <c r="J91" s="34"/>
      <c r="K91" s="34"/>
    </row>
    <row r="92" spans="1:11" ht="12.75" customHeight="1">
      <c r="A92" s="15" t="s">
        <v>174</v>
      </c>
      <c r="B92" s="16"/>
      <c r="C92" s="34"/>
      <c r="D92" s="35"/>
      <c r="E92" s="35"/>
      <c r="F92" s="35"/>
      <c r="G92" s="35"/>
      <c r="H92" s="34"/>
      <c r="I92" s="34">
        <v>16174.1</v>
      </c>
      <c r="J92" s="34"/>
      <c r="K92" s="34"/>
    </row>
    <row r="93" spans="1:11" ht="12.75" customHeight="1">
      <c r="A93" s="29" t="s">
        <v>124</v>
      </c>
      <c r="B93" s="30"/>
      <c r="C93" s="36"/>
      <c r="D93" s="37"/>
      <c r="E93" s="37">
        <v>3900</v>
      </c>
      <c r="F93" s="37"/>
      <c r="G93" s="37"/>
      <c r="H93" s="36"/>
      <c r="I93" s="36"/>
      <c r="J93" s="36"/>
      <c r="K93" s="36"/>
    </row>
    <row r="94" spans="1:11" ht="18.95" customHeight="1">
      <c r="A94" s="7" t="s">
        <v>48</v>
      </c>
      <c r="B94" s="8">
        <f t="shared" ref="B94:C94" si="55">B95</f>
        <v>7000</v>
      </c>
      <c r="C94" s="9">
        <f t="shared" si="55"/>
        <v>7000</v>
      </c>
      <c r="D94" s="9">
        <f t="shared" ref="D94" si="56">D95+D98</f>
        <v>6755</v>
      </c>
      <c r="E94" s="9">
        <f t="shared" ref="E94:H94" si="57">E95+E98</f>
        <v>7196.5</v>
      </c>
      <c r="F94" s="9">
        <f t="shared" si="57"/>
        <v>4417.3</v>
      </c>
      <c r="G94" s="9">
        <f t="shared" si="57"/>
        <v>0</v>
      </c>
      <c r="H94" s="9">
        <f t="shared" si="57"/>
        <v>4667.3</v>
      </c>
      <c r="I94" s="9">
        <f t="shared" ref="I94" si="58">I95+I98</f>
        <v>4417.3</v>
      </c>
      <c r="J94" s="9">
        <f t="shared" ref="J94" si="59">J95+J98</f>
        <v>0</v>
      </c>
      <c r="K94" s="9">
        <f t="shared" ref="K94" si="60">K95+K98</f>
        <v>0</v>
      </c>
    </row>
    <row r="95" spans="1:11" ht="12.95" customHeight="1">
      <c r="A95" s="24" t="s">
        <v>23</v>
      </c>
      <c r="B95" s="25">
        <f>SUM(B97:B97)</f>
        <v>7000</v>
      </c>
      <c r="C95" s="26">
        <f t="shared" ref="C95:J95" si="61">C97</f>
        <v>7000</v>
      </c>
      <c r="D95" s="26">
        <f t="shared" si="61"/>
        <v>6755</v>
      </c>
      <c r="E95" s="26">
        <f t="shared" ref="E95:H95" si="62">E97</f>
        <v>6846.5</v>
      </c>
      <c r="F95" s="26">
        <f t="shared" si="62"/>
        <v>4417.3</v>
      </c>
      <c r="G95" s="26">
        <f t="shared" si="62"/>
        <v>0</v>
      </c>
      <c r="H95" s="26">
        <f t="shared" si="62"/>
        <v>4667.3</v>
      </c>
      <c r="I95" s="26">
        <f t="shared" ref="I95" si="63">I97</f>
        <v>4417.3</v>
      </c>
      <c r="J95" s="26">
        <f t="shared" si="61"/>
        <v>0</v>
      </c>
      <c r="K95" s="26">
        <f>K97</f>
        <v>0</v>
      </c>
    </row>
    <row r="96" spans="1:11" ht="11.1" customHeight="1">
      <c r="A96" s="11" t="s">
        <v>17</v>
      </c>
      <c r="B96" s="16"/>
      <c r="C96" s="27"/>
      <c r="D96" s="28"/>
      <c r="E96" s="28"/>
      <c r="F96" s="28"/>
      <c r="G96" s="28"/>
      <c r="H96" s="27"/>
      <c r="I96" s="17"/>
      <c r="J96" s="27"/>
      <c r="K96" s="27"/>
    </row>
    <row r="97" spans="1:11" ht="12.75" customHeight="1">
      <c r="A97" s="15" t="s">
        <v>27</v>
      </c>
      <c r="B97" s="16">
        <v>7000</v>
      </c>
      <c r="C97" s="17">
        <v>7000</v>
      </c>
      <c r="D97" s="18">
        <v>6755</v>
      </c>
      <c r="E97" s="18">
        <v>6846.5</v>
      </c>
      <c r="F97" s="18">
        <v>4417.3</v>
      </c>
      <c r="G97" s="18"/>
      <c r="H97" s="17">
        <v>4667.3</v>
      </c>
      <c r="I97" s="17">
        <v>4417.3</v>
      </c>
      <c r="J97" s="17"/>
      <c r="K97" s="17"/>
    </row>
    <row r="98" spans="1:11" ht="12.75" customHeight="1">
      <c r="A98" s="24" t="s">
        <v>29</v>
      </c>
      <c r="B98" s="16"/>
      <c r="C98" s="17"/>
      <c r="D98" s="85">
        <f t="shared" ref="D98" si="64">D100</f>
        <v>0</v>
      </c>
      <c r="E98" s="85">
        <f t="shared" ref="E98:K98" si="65">E100</f>
        <v>350</v>
      </c>
      <c r="F98" s="85">
        <f t="shared" si="65"/>
        <v>0</v>
      </c>
      <c r="G98" s="85">
        <f t="shared" si="65"/>
        <v>0</v>
      </c>
      <c r="H98" s="85">
        <f t="shared" si="65"/>
        <v>0</v>
      </c>
      <c r="I98" s="26">
        <f t="shared" ref="I98" si="66">I100</f>
        <v>0</v>
      </c>
      <c r="J98" s="85">
        <f t="shared" si="65"/>
        <v>0</v>
      </c>
      <c r="K98" s="85">
        <f t="shared" si="65"/>
        <v>0</v>
      </c>
    </row>
    <row r="99" spans="1:11" ht="9" customHeight="1">
      <c r="A99" s="11" t="s">
        <v>17</v>
      </c>
      <c r="B99" s="16"/>
      <c r="C99" s="17"/>
      <c r="D99" s="18"/>
      <c r="E99" s="18"/>
      <c r="F99" s="18"/>
      <c r="G99" s="18"/>
      <c r="H99" s="17"/>
      <c r="I99" s="17"/>
      <c r="J99" s="17"/>
      <c r="K99" s="17"/>
    </row>
    <row r="100" spans="1:11" ht="12.75" customHeight="1">
      <c r="A100" s="29" t="s">
        <v>39</v>
      </c>
      <c r="B100" s="30"/>
      <c r="C100" s="31"/>
      <c r="D100" s="32"/>
      <c r="E100" s="32">
        <v>350</v>
      </c>
      <c r="F100" s="32"/>
      <c r="G100" s="32"/>
      <c r="H100" s="31"/>
      <c r="I100" s="31"/>
      <c r="J100" s="31"/>
      <c r="K100" s="31"/>
    </row>
    <row r="101" spans="1:11" ht="18.95" customHeight="1">
      <c r="A101" s="7" t="s">
        <v>49</v>
      </c>
      <c r="B101" s="8">
        <f t="shared" ref="B101:D101" si="67">B102+B107</f>
        <v>323962</v>
      </c>
      <c r="C101" s="9">
        <f t="shared" si="67"/>
        <v>63986</v>
      </c>
      <c r="D101" s="9">
        <f t="shared" si="67"/>
        <v>33000</v>
      </c>
      <c r="E101" s="9">
        <f t="shared" ref="E101:K101" si="68">E102+E107</f>
        <v>35140</v>
      </c>
      <c r="F101" s="9">
        <f t="shared" si="68"/>
        <v>32100</v>
      </c>
      <c r="G101" s="9">
        <f t="shared" si="68"/>
        <v>0</v>
      </c>
      <c r="H101" s="9">
        <f t="shared" si="68"/>
        <v>29670</v>
      </c>
      <c r="I101" s="9">
        <f t="shared" ref="I101" si="69">I102+I107</f>
        <v>29670</v>
      </c>
      <c r="J101" s="9">
        <f t="shared" si="68"/>
        <v>0</v>
      </c>
      <c r="K101" s="9">
        <f t="shared" si="68"/>
        <v>0</v>
      </c>
    </row>
    <row r="102" spans="1:11" ht="12.75" customHeight="1">
      <c r="A102" s="24" t="s">
        <v>125</v>
      </c>
      <c r="B102" s="25">
        <f t="shared" ref="B102:D102" si="70">SUM(B104:B106)</f>
        <v>28962</v>
      </c>
      <c r="C102" s="26">
        <f t="shared" si="70"/>
        <v>59236</v>
      </c>
      <c r="D102" s="26">
        <f t="shared" si="70"/>
        <v>28000</v>
      </c>
      <c r="E102" s="26">
        <f t="shared" ref="E102:H102" si="71">SUM(E104:E106)</f>
        <v>22150</v>
      </c>
      <c r="F102" s="26">
        <f t="shared" si="71"/>
        <v>27100</v>
      </c>
      <c r="G102" s="26">
        <f t="shared" si="71"/>
        <v>0</v>
      </c>
      <c r="H102" s="26">
        <f t="shared" si="71"/>
        <v>26670</v>
      </c>
      <c r="I102" s="26">
        <f t="shared" ref="I102" si="72">SUM(I104:I106)</f>
        <v>26670</v>
      </c>
      <c r="J102" s="26">
        <f>SUM(J104:J106)</f>
        <v>0</v>
      </c>
      <c r="K102" s="26">
        <f>SUM(K104:K106)</f>
        <v>0</v>
      </c>
    </row>
    <row r="103" spans="1:11" ht="11.1" customHeight="1">
      <c r="A103" s="11" t="s">
        <v>8</v>
      </c>
      <c r="B103" s="16"/>
      <c r="C103" s="27"/>
      <c r="D103" s="28"/>
      <c r="E103" s="28"/>
      <c r="F103" s="28"/>
      <c r="G103" s="28"/>
      <c r="H103" s="27"/>
      <c r="I103" s="95"/>
      <c r="J103" s="27"/>
      <c r="K103" s="27"/>
    </row>
    <row r="104" spans="1:11" ht="12.75" customHeight="1">
      <c r="A104" s="15" t="s">
        <v>50</v>
      </c>
      <c r="B104" s="16">
        <v>0</v>
      </c>
      <c r="C104" s="17">
        <v>25529</v>
      </c>
      <c r="D104" s="18"/>
      <c r="E104" s="18"/>
      <c r="F104" s="18"/>
      <c r="G104" s="18"/>
      <c r="H104" s="17"/>
      <c r="I104" s="17"/>
      <c r="J104" s="17"/>
      <c r="K104" s="17"/>
    </row>
    <row r="105" spans="1:11" ht="12.75" customHeight="1">
      <c r="A105" s="15" t="s">
        <v>27</v>
      </c>
      <c r="B105" s="16">
        <v>8962</v>
      </c>
      <c r="C105" s="17">
        <v>11707</v>
      </c>
      <c r="D105" s="18">
        <v>6000</v>
      </c>
      <c r="E105" s="18">
        <v>4430.8999999999996</v>
      </c>
      <c r="F105" s="18">
        <v>5100</v>
      </c>
      <c r="G105" s="18"/>
      <c r="H105" s="17">
        <v>4670</v>
      </c>
      <c r="I105" s="17">
        <f>4670</f>
        <v>4670</v>
      </c>
      <c r="J105" s="17"/>
      <c r="K105" s="17"/>
    </row>
    <row r="106" spans="1:11" ht="12.75" customHeight="1">
      <c r="A106" s="15" t="s">
        <v>126</v>
      </c>
      <c r="B106" s="16">
        <v>20000</v>
      </c>
      <c r="C106" s="17">
        <v>22000</v>
      </c>
      <c r="D106" s="18">
        <v>22000</v>
      </c>
      <c r="E106" s="18">
        <v>17719.099999999999</v>
      </c>
      <c r="F106" s="18">
        <v>22000</v>
      </c>
      <c r="G106" s="18"/>
      <c r="H106" s="17">
        <v>22000</v>
      </c>
      <c r="I106" s="17">
        <v>22000</v>
      </c>
      <c r="J106" s="17"/>
      <c r="K106" s="17"/>
    </row>
    <row r="107" spans="1:11" ht="12.75" customHeight="1">
      <c r="A107" s="24" t="s">
        <v>29</v>
      </c>
      <c r="B107" s="25">
        <f>B110</f>
        <v>295000</v>
      </c>
      <c r="C107" s="26">
        <f t="shared" ref="C107:K107" si="73">SUM(C109:C110)</f>
        <v>4750</v>
      </c>
      <c r="D107" s="26">
        <f t="shared" ref="D107" si="74">SUM(D109:D110)</f>
        <v>5000</v>
      </c>
      <c r="E107" s="26">
        <f t="shared" si="73"/>
        <v>12990</v>
      </c>
      <c r="F107" s="26">
        <f t="shared" si="73"/>
        <v>5000</v>
      </c>
      <c r="G107" s="26">
        <f t="shared" si="73"/>
        <v>0</v>
      </c>
      <c r="H107" s="26">
        <f t="shared" si="73"/>
        <v>3000</v>
      </c>
      <c r="I107" s="26">
        <f t="shared" ref="I107" si="75">SUM(I109:I110)</f>
        <v>3000</v>
      </c>
      <c r="J107" s="26">
        <f t="shared" si="73"/>
        <v>0</v>
      </c>
      <c r="K107" s="26">
        <f t="shared" si="73"/>
        <v>0</v>
      </c>
    </row>
    <row r="108" spans="1:11" ht="11.1" customHeight="1">
      <c r="A108" s="11" t="s">
        <v>8</v>
      </c>
      <c r="B108" s="16"/>
      <c r="C108" s="27"/>
      <c r="D108" s="28"/>
      <c r="E108" s="28"/>
      <c r="F108" s="28"/>
      <c r="G108" s="28"/>
      <c r="H108" s="27"/>
      <c r="I108" s="95"/>
      <c r="J108" s="27"/>
      <c r="K108" s="27"/>
    </row>
    <row r="109" spans="1:11" ht="12.75" customHeight="1">
      <c r="A109" s="15" t="s">
        <v>39</v>
      </c>
      <c r="B109" s="16">
        <v>0</v>
      </c>
      <c r="C109" s="17">
        <v>4750</v>
      </c>
      <c r="D109" s="18">
        <v>5000</v>
      </c>
      <c r="E109" s="18">
        <v>12990</v>
      </c>
      <c r="F109" s="18">
        <v>5000</v>
      </c>
      <c r="G109" s="18"/>
      <c r="H109" s="17">
        <v>3000</v>
      </c>
      <c r="I109" s="17">
        <v>3000</v>
      </c>
      <c r="J109" s="31"/>
      <c r="K109" s="31"/>
    </row>
    <row r="110" spans="1:11" ht="12.75" customHeight="1">
      <c r="A110" s="29" t="s">
        <v>165</v>
      </c>
      <c r="B110" s="30">
        <v>295000</v>
      </c>
      <c r="C110" s="31">
        <v>0</v>
      </c>
      <c r="D110" s="32"/>
      <c r="E110" s="32"/>
      <c r="F110" s="32"/>
      <c r="G110" s="32"/>
      <c r="H110" s="31"/>
      <c r="I110" s="31"/>
      <c r="J110" s="31"/>
      <c r="K110" s="31"/>
    </row>
    <row r="111" spans="1:11" ht="18.95" customHeight="1">
      <c r="A111" s="7" t="s">
        <v>51</v>
      </c>
      <c r="B111" s="8">
        <f>B112</f>
        <v>23700</v>
      </c>
      <c r="C111" s="9">
        <f t="shared" ref="C111:H111" si="76">C112+C117</f>
        <v>9200</v>
      </c>
      <c r="D111" s="9">
        <f t="shared" ref="D111" si="77">D112+D117</f>
        <v>11294</v>
      </c>
      <c r="E111" s="9">
        <f t="shared" si="76"/>
        <v>10057.200000000001</v>
      </c>
      <c r="F111" s="9">
        <f t="shared" si="76"/>
        <v>10723.1</v>
      </c>
      <c r="G111" s="9">
        <f t="shared" si="76"/>
        <v>0</v>
      </c>
      <c r="H111" s="9">
        <f t="shared" si="76"/>
        <v>10523.1</v>
      </c>
      <c r="I111" s="9">
        <f t="shared" ref="I111" si="78">I112+I117</f>
        <v>10523.1</v>
      </c>
      <c r="J111" s="9">
        <f t="shared" ref="J111:K111" si="79">J112+J117</f>
        <v>0</v>
      </c>
      <c r="K111" s="9">
        <f t="shared" si="79"/>
        <v>0</v>
      </c>
    </row>
    <row r="112" spans="1:11" ht="15" customHeight="1">
      <c r="A112" s="24" t="s">
        <v>23</v>
      </c>
      <c r="B112" s="25">
        <f t="shared" ref="B112:H112" si="80">SUM(B114:B116)</f>
        <v>23700</v>
      </c>
      <c r="C112" s="26">
        <f t="shared" si="80"/>
        <v>5700</v>
      </c>
      <c r="D112" s="26">
        <f t="shared" ref="D112" si="81">SUM(D114:D116)</f>
        <v>11294</v>
      </c>
      <c r="E112" s="26">
        <f t="shared" si="80"/>
        <v>10057.200000000001</v>
      </c>
      <c r="F112" s="26">
        <f t="shared" si="80"/>
        <v>10723.1</v>
      </c>
      <c r="G112" s="26">
        <f t="shared" si="80"/>
        <v>0</v>
      </c>
      <c r="H112" s="26">
        <f t="shared" si="80"/>
        <v>10523.1</v>
      </c>
      <c r="I112" s="26">
        <f t="shared" ref="I112" si="82">SUM(I114:I116)</f>
        <v>10523.1</v>
      </c>
      <c r="J112" s="26">
        <f>SUM(J114:J116)</f>
        <v>0</v>
      </c>
      <c r="K112" s="26">
        <f>SUM(K114:K116)</f>
        <v>0</v>
      </c>
    </row>
    <row r="113" spans="1:11" ht="11.1" customHeight="1">
      <c r="A113" s="11" t="s">
        <v>17</v>
      </c>
      <c r="B113" s="16"/>
      <c r="C113" s="27"/>
      <c r="D113" s="28"/>
      <c r="E113" s="28"/>
      <c r="F113" s="28"/>
      <c r="G113" s="28"/>
      <c r="H113" s="27"/>
      <c r="I113" s="95"/>
      <c r="J113" s="27"/>
      <c r="K113" s="27"/>
    </row>
    <row r="114" spans="1:11" ht="12.75" customHeight="1">
      <c r="A114" s="15" t="s">
        <v>27</v>
      </c>
      <c r="B114" s="16">
        <v>200</v>
      </c>
      <c r="C114" s="17">
        <v>4000</v>
      </c>
      <c r="D114" s="18">
        <v>3994</v>
      </c>
      <c r="E114" s="18">
        <v>3037.2</v>
      </c>
      <c r="F114" s="18">
        <v>3729.3</v>
      </c>
      <c r="G114" s="18"/>
      <c r="H114" s="17">
        <v>3729.3</v>
      </c>
      <c r="I114" s="17">
        <v>3729.3</v>
      </c>
      <c r="J114" s="17"/>
      <c r="K114" s="17"/>
    </row>
    <row r="115" spans="1:11" ht="12.75" customHeight="1">
      <c r="A115" s="39" t="s">
        <v>52</v>
      </c>
      <c r="B115" s="16">
        <v>20000</v>
      </c>
      <c r="C115" s="17">
        <v>1200</v>
      </c>
      <c r="D115" s="18">
        <v>1300</v>
      </c>
      <c r="E115" s="18">
        <v>1300</v>
      </c>
      <c r="F115" s="18">
        <v>1300</v>
      </c>
      <c r="G115" s="18"/>
      <c r="H115" s="17">
        <v>1100</v>
      </c>
      <c r="I115" s="17">
        <v>1100</v>
      </c>
      <c r="J115" s="17"/>
      <c r="K115" s="17"/>
    </row>
    <row r="116" spans="1:11" ht="12.75" customHeight="1">
      <c r="A116" s="39" t="s">
        <v>53</v>
      </c>
      <c r="B116" s="16">
        <v>3500</v>
      </c>
      <c r="C116" s="17">
        <v>500</v>
      </c>
      <c r="D116" s="18">
        <v>6000</v>
      </c>
      <c r="E116" s="18">
        <v>5720</v>
      </c>
      <c r="F116" s="18">
        <v>5693.8</v>
      </c>
      <c r="G116" s="18"/>
      <c r="H116" s="17">
        <v>5693.8</v>
      </c>
      <c r="I116" s="17">
        <v>5693.8</v>
      </c>
      <c r="J116" s="17"/>
      <c r="K116" s="17"/>
    </row>
    <row r="117" spans="1:11" ht="12.75" customHeight="1">
      <c r="A117" s="24" t="s">
        <v>29</v>
      </c>
      <c r="B117" s="25"/>
      <c r="C117" s="26">
        <f t="shared" ref="C117" si="83">SUM(C120:C121)</f>
        <v>3500</v>
      </c>
      <c r="D117" s="26">
        <f t="shared" ref="D117" si="84">SUM(D119:D121)</f>
        <v>0</v>
      </c>
      <c r="E117" s="26">
        <f t="shared" ref="E117:K117" si="85">SUM(E119:E121)</f>
        <v>0</v>
      </c>
      <c r="F117" s="26">
        <f t="shared" si="85"/>
        <v>0</v>
      </c>
      <c r="G117" s="26">
        <f t="shared" si="85"/>
        <v>0</v>
      </c>
      <c r="H117" s="26">
        <f t="shared" si="85"/>
        <v>0</v>
      </c>
      <c r="I117" s="26">
        <f t="shared" ref="I117" si="86">SUM(I119:I121)</f>
        <v>0</v>
      </c>
      <c r="J117" s="26">
        <f t="shared" si="85"/>
        <v>0</v>
      </c>
      <c r="K117" s="26">
        <f t="shared" si="85"/>
        <v>0</v>
      </c>
    </row>
    <row r="118" spans="1:11" ht="12.75" customHeight="1">
      <c r="A118" s="11" t="s">
        <v>17</v>
      </c>
      <c r="B118" s="16"/>
      <c r="C118" s="34"/>
      <c r="D118" s="35"/>
      <c r="E118" s="35"/>
      <c r="F118" s="35"/>
      <c r="G118" s="35"/>
      <c r="H118" s="34"/>
      <c r="I118" s="34"/>
      <c r="J118" s="34"/>
      <c r="K118" s="34"/>
    </row>
    <row r="119" spans="1:11" ht="12.75" customHeight="1">
      <c r="A119" s="15" t="s">
        <v>128</v>
      </c>
      <c r="B119" s="16"/>
      <c r="C119" s="34"/>
      <c r="D119" s="35"/>
      <c r="E119" s="35"/>
      <c r="F119" s="35"/>
      <c r="G119" s="35"/>
      <c r="H119" s="34"/>
      <c r="I119" s="34"/>
      <c r="J119" s="34"/>
      <c r="K119" s="34"/>
    </row>
    <row r="120" spans="1:11" ht="12.75" customHeight="1">
      <c r="A120" s="40" t="s">
        <v>52</v>
      </c>
      <c r="B120" s="30">
        <v>0</v>
      </c>
      <c r="C120" s="31">
        <v>500</v>
      </c>
      <c r="D120" s="32"/>
      <c r="E120" s="32"/>
      <c r="F120" s="32"/>
      <c r="G120" s="32"/>
      <c r="H120" s="89"/>
      <c r="I120" s="89"/>
      <c r="J120" s="31"/>
      <c r="K120" s="31"/>
    </row>
    <row r="121" spans="1:11" ht="12.75" hidden="1" customHeight="1">
      <c r="A121" s="29" t="s">
        <v>39</v>
      </c>
      <c r="B121" s="30">
        <v>0</v>
      </c>
      <c r="C121" s="31">
        <v>3000</v>
      </c>
      <c r="D121" s="32"/>
      <c r="E121" s="32"/>
      <c r="F121" s="32"/>
      <c r="G121" s="32"/>
      <c r="H121" s="31"/>
      <c r="I121" s="31"/>
      <c r="J121" s="31"/>
      <c r="K121" s="31"/>
    </row>
    <row r="122" spans="1:11" ht="21.95" customHeight="1">
      <c r="A122" s="7" t="s">
        <v>54</v>
      </c>
      <c r="B122" s="8">
        <f t="shared" ref="B122:D122" si="87">B123+B128</f>
        <v>469830</v>
      </c>
      <c r="C122" s="9">
        <f t="shared" si="87"/>
        <v>508374.2</v>
      </c>
      <c r="D122" s="9">
        <f t="shared" si="87"/>
        <v>338057.8</v>
      </c>
      <c r="E122" s="9">
        <f t="shared" ref="E122:K122" si="88">E123+E128</f>
        <v>344645.7</v>
      </c>
      <c r="F122" s="9">
        <f t="shared" si="88"/>
        <v>338435.5</v>
      </c>
      <c r="G122" s="9">
        <f t="shared" si="88"/>
        <v>0</v>
      </c>
      <c r="H122" s="9">
        <f t="shared" si="88"/>
        <v>352904</v>
      </c>
      <c r="I122" s="9">
        <f t="shared" ref="I122" si="89">I123+I128</f>
        <v>345504</v>
      </c>
      <c r="J122" s="9">
        <f t="shared" si="88"/>
        <v>0</v>
      </c>
      <c r="K122" s="9">
        <f t="shared" si="88"/>
        <v>0</v>
      </c>
    </row>
    <row r="123" spans="1:11" ht="12.75" customHeight="1">
      <c r="A123" s="24" t="s">
        <v>55</v>
      </c>
      <c r="B123" s="25">
        <f t="shared" ref="B123:D123" si="90">SUM(B125:B127)</f>
        <v>321330</v>
      </c>
      <c r="C123" s="26">
        <f t="shared" si="90"/>
        <v>339280</v>
      </c>
      <c r="D123" s="26">
        <f t="shared" si="90"/>
        <v>338057.8</v>
      </c>
      <c r="E123" s="26">
        <f t="shared" ref="E123:H123" si="91">SUM(E125:E127)</f>
        <v>344125.7</v>
      </c>
      <c r="F123" s="26">
        <f t="shared" si="91"/>
        <v>338435.5</v>
      </c>
      <c r="G123" s="26">
        <f t="shared" si="91"/>
        <v>0</v>
      </c>
      <c r="H123" s="26">
        <f t="shared" si="91"/>
        <v>352904</v>
      </c>
      <c r="I123" s="26">
        <f t="shared" ref="I123" si="92">SUM(I125:I127)</f>
        <v>345504</v>
      </c>
      <c r="J123" s="26">
        <f>SUM(J125:J127)</f>
        <v>0</v>
      </c>
      <c r="K123" s="26">
        <f>SUM(K125:K127)</f>
        <v>0</v>
      </c>
    </row>
    <row r="124" spans="1:11" ht="11.1" customHeight="1">
      <c r="A124" s="11" t="s">
        <v>17</v>
      </c>
      <c r="B124" s="16"/>
      <c r="C124" s="27"/>
      <c r="D124" s="28"/>
      <c r="E124" s="28"/>
      <c r="F124" s="28"/>
      <c r="G124" s="28"/>
      <c r="H124" s="27"/>
      <c r="I124" s="95"/>
      <c r="J124" s="27"/>
      <c r="K124" s="27"/>
    </row>
    <row r="125" spans="1:11" ht="12.75" customHeight="1">
      <c r="A125" s="15" t="s">
        <v>46</v>
      </c>
      <c r="B125" s="16">
        <v>298668</v>
      </c>
      <c r="C125" s="17">
        <v>317530</v>
      </c>
      <c r="D125" s="18">
        <v>317845</v>
      </c>
      <c r="E125" s="18">
        <v>338400.3</v>
      </c>
      <c r="F125" s="18">
        <v>317256.5</v>
      </c>
      <c r="G125" s="18"/>
      <c r="H125" s="17">
        <v>329675</v>
      </c>
      <c r="I125" s="17">
        <v>323675</v>
      </c>
      <c r="J125" s="17"/>
      <c r="K125" s="17"/>
    </row>
    <row r="126" spans="1:11" ht="12.75" customHeight="1">
      <c r="A126" s="15" t="s">
        <v>127</v>
      </c>
      <c r="B126" s="16"/>
      <c r="C126" s="17"/>
      <c r="D126" s="18"/>
      <c r="E126" s="18">
        <v>950</v>
      </c>
      <c r="F126" s="18"/>
      <c r="G126" s="18"/>
      <c r="H126" s="17"/>
      <c r="I126" s="17"/>
      <c r="J126" s="17"/>
      <c r="K126" s="17"/>
    </row>
    <row r="127" spans="1:11" ht="12.75" customHeight="1">
      <c r="A127" s="15" t="s">
        <v>56</v>
      </c>
      <c r="B127" s="16">
        <v>22662</v>
      </c>
      <c r="C127" s="17">
        <v>21750</v>
      </c>
      <c r="D127" s="18">
        <v>20212.8</v>
      </c>
      <c r="E127" s="18">
        <v>4775.3999999999996</v>
      </c>
      <c r="F127" s="18">
        <v>21179</v>
      </c>
      <c r="G127" s="18"/>
      <c r="H127" s="17">
        <v>23229</v>
      </c>
      <c r="I127" s="17">
        <f>23229-2000+600</f>
        <v>21829</v>
      </c>
      <c r="J127" s="17"/>
      <c r="K127" s="17"/>
    </row>
    <row r="128" spans="1:11" ht="12.75" customHeight="1">
      <c r="A128" s="24" t="s">
        <v>29</v>
      </c>
      <c r="B128" s="25">
        <f>B132</f>
        <v>148500</v>
      </c>
      <c r="C128" s="26">
        <f>C132</f>
        <v>169094.2</v>
      </c>
      <c r="D128" s="26">
        <f t="shared" ref="D128" si="93">D132+D130+D131</f>
        <v>0</v>
      </c>
      <c r="E128" s="26">
        <f t="shared" ref="E128:K128" si="94">E132+E130+E131</f>
        <v>520</v>
      </c>
      <c r="F128" s="26">
        <f t="shared" si="94"/>
        <v>0</v>
      </c>
      <c r="G128" s="26">
        <f t="shared" si="94"/>
        <v>0</v>
      </c>
      <c r="H128" s="26">
        <f t="shared" si="94"/>
        <v>0</v>
      </c>
      <c r="I128" s="26">
        <f t="shared" ref="I128" si="95">I132+I130+I131</f>
        <v>0</v>
      </c>
      <c r="J128" s="26">
        <f t="shared" si="94"/>
        <v>0</v>
      </c>
      <c r="K128" s="26">
        <f t="shared" si="94"/>
        <v>0</v>
      </c>
    </row>
    <row r="129" spans="1:11" ht="9.75" customHeight="1">
      <c r="A129" s="11" t="s">
        <v>17</v>
      </c>
      <c r="B129" s="16"/>
      <c r="C129" s="34"/>
      <c r="D129" s="35"/>
      <c r="E129" s="35"/>
      <c r="F129" s="35"/>
      <c r="G129" s="35"/>
      <c r="H129" s="34"/>
      <c r="I129" s="34"/>
      <c r="J129" s="34"/>
      <c r="K129" s="34"/>
    </row>
    <row r="130" spans="1:11" ht="12.75" customHeight="1">
      <c r="A130" s="15" t="s">
        <v>128</v>
      </c>
      <c r="B130" s="16"/>
      <c r="C130" s="34"/>
      <c r="D130" s="35"/>
      <c r="E130" s="35">
        <v>520</v>
      </c>
      <c r="F130" s="35"/>
      <c r="G130" s="35"/>
      <c r="H130" s="34"/>
      <c r="I130" s="34"/>
      <c r="J130" s="34"/>
      <c r="K130" s="34"/>
    </row>
    <row r="131" spans="1:11" ht="12.75" customHeight="1">
      <c r="A131" s="15" t="s">
        <v>124</v>
      </c>
      <c r="B131" s="16"/>
      <c r="C131" s="34"/>
      <c r="D131" s="35"/>
      <c r="E131" s="35"/>
      <c r="F131" s="35"/>
      <c r="G131" s="35"/>
      <c r="H131" s="34"/>
      <c r="I131" s="34"/>
      <c r="J131" s="34"/>
      <c r="K131" s="34"/>
    </row>
    <row r="132" spans="1:11" ht="12.75" customHeight="1">
      <c r="A132" s="40" t="s">
        <v>57</v>
      </c>
      <c r="B132" s="30">
        <v>148500</v>
      </c>
      <c r="C132" s="31">
        <v>169094.2</v>
      </c>
      <c r="D132" s="32"/>
      <c r="E132" s="32"/>
      <c r="F132" s="32"/>
      <c r="G132" s="32"/>
      <c r="H132" s="31"/>
      <c r="I132" s="31"/>
      <c r="J132" s="31"/>
      <c r="K132" s="31"/>
    </row>
    <row r="133" spans="1:11" ht="21.95" customHeight="1">
      <c r="A133" s="7" t="s">
        <v>58</v>
      </c>
      <c r="B133" s="8" t="e">
        <f t="shared" ref="B133:H133" si="96">B134+B140</f>
        <v>#REF!</v>
      </c>
      <c r="C133" s="9">
        <f t="shared" si="96"/>
        <v>320382</v>
      </c>
      <c r="D133" s="9">
        <f t="shared" ref="D133" si="97">D134+D140</f>
        <v>409181.9</v>
      </c>
      <c r="E133" s="9">
        <f t="shared" si="96"/>
        <v>508007.8</v>
      </c>
      <c r="F133" s="9">
        <f t="shared" si="96"/>
        <v>387953</v>
      </c>
      <c r="G133" s="9">
        <f t="shared" si="96"/>
        <v>0</v>
      </c>
      <c r="H133" s="9">
        <f t="shared" si="96"/>
        <v>409221</v>
      </c>
      <c r="I133" s="9">
        <f t="shared" ref="I133:K133" si="98">I134+I140</f>
        <v>404841</v>
      </c>
      <c r="J133" s="9">
        <f t="shared" si="98"/>
        <v>0</v>
      </c>
      <c r="K133" s="9">
        <f t="shared" si="98"/>
        <v>0</v>
      </c>
    </row>
    <row r="134" spans="1:11" ht="12.95" customHeight="1">
      <c r="A134" s="24" t="s">
        <v>129</v>
      </c>
      <c r="B134" s="25">
        <f>SUM(B136:B138)</f>
        <v>295000</v>
      </c>
      <c r="C134" s="26">
        <f>SUM(C136:C138)</f>
        <v>310382</v>
      </c>
      <c r="D134" s="26">
        <f t="shared" ref="D134" si="99">SUM(D136:D139)</f>
        <v>406181.9</v>
      </c>
      <c r="E134" s="26">
        <f t="shared" ref="E134:H134" si="100">SUM(E136:E139)</f>
        <v>456507.8</v>
      </c>
      <c r="F134" s="26">
        <f t="shared" si="100"/>
        <v>387953</v>
      </c>
      <c r="G134" s="26">
        <f t="shared" si="100"/>
        <v>0</v>
      </c>
      <c r="H134" s="26">
        <f t="shared" si="100"/>
        <v>409221</v>
      </c>
      <c r="I134" s="26">
        <f>SUM(I136:I138)</f>
        <v>404841</v>
      </c>
      <c r="J134" s="26">
        <f>SUM(J136:J138)</f>
        <v>0</v>
      </c>
      <c r="K134" s="26">
        <f>SUM(K136:K138)</f>
        <v>0</v>
      </c>
    </row>
    <row r="135" spans="1:11" ht="11.1" customHeight="1">
      <c r="A135" s="11" t="s">
        <v>17</v>
      </c>
      <c r="B135" s="16"/>
      <c r="C135" s="27"/>
      <c r="D135" s="28"/>
      <c r="E135" s="28"/>
      <c r="F135" s="28"/>
      <c r="G135" s="28"/>
      <c r="H135" s="27"/>
      <c r="I135" s="27"/>
      <c r="J135" s="27"/>
      <c r="K135" s="27"/>
    </row>
    <row r="136" spans="1:11" ht="12.75" customHeight="1">
      <c r="A136" s="15" t="s">
        <v>46</v>
      </c>
      <c r="B136" s="16">
        <v>189798</v>
      </c>
      <c r="C136" s="17">
        <v>182762</v>
      </c>
      <c r="D136" s="18">
        <v>208971</v>
      </c>
      <c r="E136" s="18">
        <v>210083</v>
      </c>
      <c r="F136" s="18">
        <v>201688</v>
      </c>
      <c r="G136" s="18"/>
      <c r="H136" s="17">
        <v>217206</v>
      </c>
      <c r="I136" s="17">
        <f>217206+100+1520</f>
        <v>218826</v>
      </c>
      <c r="J136" s="17"/>
      <c r="K136" s="17"/>
    </row>
    <row r="137" spans="1:11" ht="12.75" customHeight="1">
      <c r="A137" s="15" t="s">
        <v>170</v>
      </c>
      <c r="B137" s="16">
        <v>68960</v>
      </c>
      <c r="C137" s="17">
        <v>87240</v>
      </c>
      <c r="D137" s="18">
        <v>176250</v>
      </c>
      <c r="E137" s="18">
        <v>201250</v>
      </c>
      <c r="F137" s="18">
        <v>176250</v>
      </c>
      <c r="G137" s="18"/>
      <c r="H137" s="17">
        <v>176000</v>
      </c>
      <c r="I137" s="17">
        <v>176000</v>
      </c>
      <c r="J137" s="17"/>
      <c r="K137" s="17"/>
    </row>
    <row r="138" spans="1:11" ht="12.75" customHeight="1">
      <c r="A138" s="15" t="s">
        <v>56</v>
      </c>
      <c r="B138" s="16">
        <v>36242</v>
      </c>
      <c r="C138" s="17">
        <v>40380</v>
      </c>
      <c r="D138" s="18">
        <f>12460.9+8500</f>
        <v>20960.900000000001</v>
      </c>
      <c r="E138" s="18">
        <v>44454.8</v>
      </c>
      <c r="F138" s="18">
        <v>10015</v>
      </c>
      <c r="G138" s="18"/>
      <c r="H138" s="17">
        <v>16015</v>
      </c>
      <c r="I138" s="17">
        <v>10015</v>
      </c>
      <c r="J138" s="17"/>
      <c r="K138" s="17"/>
    </row>
    <row r="139" spans="1:11" ht="12.75" customHeight="1">
      <c r="A139" s="15" t="s">
        <v>130</v>
      </c>
      <c r="B139" s="16"/>
      <c r="C139" s="17"/>
      <c r="D139" s="18"/>
      <c r="E139" s="18">
        <v>720</v>
      </c>
      <c r="F139" s="18"/>
      <c r="G139" s="18"/>
      <c r="H139" s="17"/>
      <c r="I139" s="17"/>
      <c r="J139" s="17"/>
      <c r="K139" s="17"/>
    </row>
    <row r="140" spans="1:11" ht="12.75" customHeight="1">
      <c r="A140" s="24" t="s">
        <v>29</v>
      </c>
      <c r="B140" s="25" t="e">
        <f>#REF!</f>
        <v>#REF!</v>
      </c>
      <c r="C140" s="26">
        <f t="shared" ref="C140" si="101">C144</f>
        <v>10000</v>
      </c>
      <c r="D140" s="26">
        <f t="shared" ref="D140" si="102">D144+D142+D143</f>
        <v>3000</v>
      </c>
      <c r="E140" s="26">
        <f t="shared" ref="E140:K140" si="103">E144+E142+E143</f>
        <v>51500</v>
      </c>
      <c r="F140" s="26">
        <f t="shared" si="103"/>
        <v>0</v>
      </c>
      <c r="G140" s="26">
        <f t="shared" si="103"/>
        <v>0</v>
      </c>
      <c r="H140" s="26">
        <f t="shared" si="103"/>
        <v>0</v>
      </c>
      <c r="I140" s="26">
        <f t="shared" si="103"/>
        <v>0</v>
      </c>
      <c r="J140" s="26">
        <f t="shared" si="103"/>
        <v>0</v>
      </c>
      <c r="K140" s="26">
        <f t="shared" si="103"/>
        <v>0</v>
      </c>
    </row>
    <row r="141" spans="1:11" ht="9.75" customHeight="1">
      <c r="A141" s="11" t="s">
        <v>17</v>
      </c>
      <c r="B141" s="16"/>
      <c r="C141" s="34"/>
      <c r="D141" s="35"/>
      <c r="E141" s="35"/>
      <c r="F141" s="35"/>
      <c r="G141" s="35"/>
      <c r="H141" s="34"/>
      <c r="I141" s="34"/>
      <c r="J141" s="34"/>
      <c r="K141" s="34"/>
    </row>
    <row r="142" spans="1:11" ht="12.75" customHeight="1">
      <c r="A142" s="15" t="s">
        <v>160</v>
      </c>
      <c r="B142" s="16"/>
      <c r="C142" s="34"/>
      <c r="D142" s="35"/>
      <c r="E142" s="35">
        <v>45000</v>
      </c>
      <c r="F142" s="35"/>
      <c r="G142" s="35"/>
      <c r="H142" s="34"/>
      <c r="I142" s="34"/>
      <c r="J142" s="34"/>
      <c r="K142" s="34"/>
    </row>
    <row r="143" spans="1:11" ht="12.75" customHeight="1">
      <c r="A143" s="15" t="s">
        <v>39</v>
      </c>
      <c r="B143" s="16"/>
      <c r="C143" s="34"/>
      <c r="D143" s="35"/>
      <c r="E143" s="35">
        <v>3500</v>
      </c>
      <c r="F143" s="35"/>
      <c r="G143" s="35"/>
      <c r="H143" s="34"/>
      <c r="I143" s="34"/>
      <c r="J143" s="34"/>
      <c r="K143" s="34"/>
    </row>
    <row r="144" spans="1:11" ht="12.75" customHeight="1">
      <c r="A144" s="86" t="s">
        <v>131</v>
      </c>
      <c r="B144" s="30"/>
      <c r="C144" s="36">
        <v>10000</v>
      </c>
      <c r="D144" s="37">
        <v>3000</v>
      </c>
      <c r="E144" s="37">
        <v>3000</v>
      </c>
      <c r="F144" s="37"/>
      <c r="G144" s="37"/>
      <c r="H144" s="36"/>
      <c r="I144" s="36"/>
      <c r="J144" s="36"/>
      <c r="K144" s="36"/>
    </row>
    <row r="145" spans="1:11" ht="21.95" customHeight="1">
      <c r="A145" s="7" t="s">
        <v>59</v>
      </c>
      <c r="B145" s="8">
        <f t="shared" ref="B145:C145" si="104">B146</f>
        <v>122329</v>
      </c>
      <c r="C145" s="9">
        <f t="shared" si="104"/>
        <v>141540</v>
      </c>
      <c r="D145" s="9">
        <f t="shared" ref="D145" si="105">D146+D153</f>
        <v>153702.5</v>
      </c>
      <c r="E145" s="9">
        <f t="shared" ref="E145:H145" si="106">E146+E153</f>
        <v>153515.5</v>
      </c>
      <c r="F145" s="9">
        <f t="shared" si="106"/>
        <v>149050.79999999999</v>
      </c>
      <c r="G145" s="9">
        <f t="shared" si="106"/>
        <v>0</v>
      </c>
      <c r="H145" s="9">
        <f t="shared" si="106"/>
        <v>152100</v>
      </c>
      <c r="I145" s="9">
        <f t="shared" ref="I145" si="107">I146+I153</f>
        <v>149450.79999999999</v>
      </c>
      <c r="J145" s="9">
        <f t="shared" ref="J145" si="108">J146+J153</f>
        <v>0</v>
      </c>
      <c r="K145" s="9">
        <f t="shared" ref="K145" si="109">K146+K153</f>
        <v>0</v>
      </c>
    </row>
    <row r="146" spans="1:11" ht="15" customHeight="1">
      <c r="A146" s="24" t="s">
        <v>60</v>
      </c>
      <c r="B146" s="25">
        <f t="shared" ref="B146:H146" si="110">SUM(B148:B152)</f>
        <v>122329</v>
      </c>
      <c r="C146" s="26">
        <f t="shared" si="110"/>
        <v>141540</v>
      </c>
      <c r="D146" s="26">
        <f t="shared" ref="D146" si="111">SUM(D148:D152)</f>
        <v>153702.5</v>
      </c>
      <c r="E146" s="26">
        <f t="shared" si="110"/>
        <v>152815.5</v>
      </c>
      <c r="F146" s="26">
        <f t="shared" si="110"/>
        <v>149050.79999999999</v>
      </c>
      <c r="G146" s="26">
        <f t="shared" si="110"/>
        <v>0</v>
      </c>
      <c r="H146" s="26">
        <f t="shared" si="110"/>
        <v>152100</v>
      </c>
      <c r="I146" s="26">
        <f t="shared" ref="I146" si="112">SUM(I148:I152)</f>
        <v>149450.79999999999</v>
      </c>
      <c r="J146" s="26">
        <f>SUM(J148:J152)</f>
        <v>0</v>
      </c>
      <c r="K146" s="26">
        <f>SUM(K148:K152)</f>
        <v>0</v>
      </c>
    </row>
    <row r="147" spans="1:11" ht="11.1" customHeight="1">
      <c r="A147" s="11" t="s">
        <v>17</v>
      </c>
      <c r="B147" s="16"/>
      <c r="C147" s="27"/>
      <c r="D147" s="41"/>
      <c r="E147" s="28"/>
      <c r="F147" s="41"/>
      <c r="G147" s="41"/>
      <c r="H147" s="27"/>
      <c r="I147" s="95"/>
      <c r="J147" s="27"/>
      <c r="K147" s="27"/>
    </row>
    <row r="148" spans="1:11" ht="12.75" customHeight="1">
      <c r="A148" s="15" t="s">
        <v>46</v>
      </c>
      <c r="B148" s="16">
        <v>101506</v>
      </c>
      <c r="C148" s="17">
        <v>109952</v>
      </c>
      <c r="D148" s="18">
        <v>127400</v>
      </c>
      <c r="E148" s="18">
        <v>127990</v>
      </c>
      <c r="F148" s="18">
        <v>123850.8</v>
      </c>
      <c r="G148" s="18"/>
      <c r="H148" s="17">
        <v>125600</v>
      </c>
      <c r="I148" s="17">
        <v>126050</v>
      </c>
      <c r="J148" s="17"/>
      <c r="K148" s="17"/>
    </row>
    <row r="149" spans="1:11" ht="12.75" customHeight="1">
      <c r="A149" s="15" t="s">
        <v>130</v>
      </c>
      <c r="B149" s="16"/>
      <c r="C149" s="17"/>
      <c r="D149" s="18"/>
      <c r="E149" s="18">
        <v>4900</v>
      </c>
      <c r="F149" s="18"/>
      <c r="G149" s="18"/>
      <c r="H149" s="17"/>
      <c r="I149" s="17"/>
      <c r="J149" s="17"/>
      <c r="K149" s="17"/>
    </row>
    <row r="150" spans="1:11" ht="12.75" customHeight="1">
      <c r="A150" s="15" t="s">
        <v>122</v>
      </c>
      <c r="B150" s="16"/>
      <c r="C150" s="17"/>
      <c r="D150" s="18"/>
      <c r="E150" s="18">
        <v>6570</v>
      </c>
      <c r="F150" s="18"/>
      <c r="G150" s="18"/>
      <c r="H150" s="17"/>
      <c r="I150" s="17"/>
      <c r="J150" s="17"/>
      <c r="K150" s="17"/>
    </row>
    <row r="151" spans="1:11" ht="12.75" customHeight="1">
      <c r="A151" s="15" t="s">
        <v>143</v>
      </c>
      <c r="B151" s="16"/>
      <c r="C151" s="17">
        <v>2750</v>
      </c>
      <c r="D151" s="18">
        <v>3200</v>
      </c>
      <c r="E151" s="18">
        <v>2778</v>
      </c>
      <c r="F151" s="18">
        <v>3000</v>
      </c>
      <c r="G151" s="18"/>
      <c r="H151" s="17">
        <v>3000</v>
      </c>
      <c r="I151" s="17">
        <v>2900</v>
      </c>
      <c r="J151" s="17"/>
      <c r="K151" s="17"/>
    </row>
    <row r="152" spans="1:11" ht="12.75" customHeight="1">
      <c r="A152" s="15" t="s">
        <v>27</v>
      </c>
      <c r="B152" s="16">
        <v>20823</v>
      </c>
      <c r="C152" s="17">
        <v>28838</v>
      </c>
      <c r="D152" s="18">
        <v>23102.5</v>
      </c>
      <c r="E152" s="18">
        <v>10577.5</v>
      </c>
      <c r="F152" s="18">
        <v>22200</v>
      </c>
      <c r="G152" s="18"/>
      <c r="H152" s="17">
        <v>23500</v>
      </c>
      <c r="I152" s="17">
        <f>149050.8-I148-I151+400</f>
        <v>20500.799999999988</v>
      </c>
      <c r="J152" s="17"/>
      <c r="K152" s="17"/>
    </row>
    <row r="153" spans="1:11" ht="12.75" customHeight="1">
      <c r="A153" s="24" t="s">
        <v>29</v>
      </c>
      <c r="B153" s="25">
        <f>B156</f>
        <v>13853</v>
      </c>
      <c r="C153" s="26">
        <f t="shared" ref="C153" si="113">SUM(C155:C156)</f>
        <v>45586</v>
      </c>
      <c r="D153" s="26">
        <f t="shared" ref="D153" si="114">D155</f>
        <v>0</v>
      </c>
      <c r="E153" s="26">
        <f t="shared" ref="E153:K153" si="115">E155</f>
        <v>700</v>
      </c>
      <c r="F153" s="26">
        <f t="shared" si="115"/>
        <v>0</v>
      </c>
      <c r="G153" s="26">
        <f t="shared" si="115"/>
        <v>0</v>
      </c>
      <c r="H153" s="26">
        <f t="shared" si="115"/>
        <v>0</v>
      </c>
      <c r="I153" s="26">
        <f t="shared" ref="I153" si="116">I155</f>
        <v>0</v>
      </c>
      <c r="J153" s="26">
        <f t="shared" si="115"/>
        <v>0</v>
      </c>
      <c r="K153" s="26">
        <f t="shared" si="115"/>
        <v>0</v>
      </c>
    </row>
    <row r="154" spans="1:11" ht="9.75" customHeight="1">
      <c r="A154" s="11" t="s">
        <v>8</v>
      </c>
      <c r="B154" s="16"/>
      <c r="C154" s="27"/>
      <c r="D154" s="28"/>
      <c r="E154" s="28"/>
      <c r="F154" s="28"/>
      <c r="G154" s="28"/>
      <c r="H154" s="27"/>
      <c r="I154" s="95"/>
      <c r="J154" s="17"/>
      <c r="K154" s="17"/>
    </row>
    <row r="155" spans="1:11" ht="12.75" customHeight="1">
      <c r="A155" s="29" t="s">
        <v>144</v>
      </c>
      <c r="B155" s="30">
        <v>0</v>
      </c>
      <c r="C155" s="31">
        <v>4750</v>
      </c>
      <c r="D155" s="32"/>
      <c r="E155" s="32">
        <v>700</v>
      </c>
      <c r="F155" s="32"/>
      <c r="G155" s="32"/>
      <c r="H155" s="38"/>
      <c r="I155" s="38"/>
      <c r="J155" s="31"/>
      <c r="K155" s="31"/>
    </row>
    <row r="156" spans="1:11" ht="21.95" customHeight="1">
      <c r="A156" s="7" t="s">
        <v>61</v>
      </c>
      <c r="B156" s="8">
        <f t="shared" ref="B156:C156" si="117">B157</f>
        <v>13853</v>
      </c>
      <c r="C156" s="9">
        <f t="shared" si="117"/>
        <v>40836</v>
      </c>
      <c r="D156" s="9">
        <f t="shared" ref="D156" si="118">D157+D163</f>
        <v>133078.20000000001</v>
      </c>
      <c r="E156" s="9">
        <f t="shared" ref="E156:K156" si="119">E157+E163</f>
        <v>135468.90000000002</v>
      </c>
      <c r="F156" s="9">
        <f t="shared" si="119"/>
        <v>116178.4</v>
      </c>
      <c r="G156" s="9">
        <f t="shared" si="119"/>
        <v>0</v>
      </c>
      <c r="H156" s="9">
        <f t="shared" si="119"/>
        <v>141251</v>
      </c>
      <c r="I156" s="9">
        <f t="shared" ref="I156" si="120">I157+I163</f>
        <v>163751</v>
      </c>
      <c r="J156" s="9">
        <f t="shared" si="119"/>
        <v>0</v>
      </c>
      <c r="K156" s="9">
        <f t="shared" si="119"/>
        <v>0</v>
      </c>
    </row>
    <row r="157" spans="1:11" ht="15" customHeight="1">
      <c r="A157" s="24" t="s">
        <v>62</v>
      </c>
      <c r="B157" s="25">
        <f>SUM(B159:B162)</f>
        <v>13853</v>
      </c>
      <c r="C157" s="26">
        <f>SUM(C159:C162)</f>
        <v>40836</v>
      </c>
      <c r="D157" s="26">
        <f t="shared" ref="D157" si="121">SUM(D159:D162)</f>
        <v>133078.20000000001</v>
      </c>
      <c r="E157" s="26">
        <f t="shared" ref="E157:H157" si="122">SUM(E159:E162)</f>
        <v>134170.20000000001</v>
      </c>
      <c r="F157" s="26">
        <f t="shared" si="122"/>
        <v>116178.4</v>
      </c>
      <c r="G157" s="26">
        <f t="shared" si="122"/>
        <v>0</v>
      </c>
      <c r="H157" s="26">
        <f t="shared" si="122"/>
        <v>141251</v>
      </c>
      <c r="I157" s="26">
        <f t="shared" ref="I157" si="123">SUM(I159:I162)</f>
        <v>163751</v>
      </c>
      <c r="J157" s="26">
        <f>SUM(J159:J162)</f>
        <v>0</v>
      </c>
      <c r="K157" s="26">
        <f>SUM(K159:K162)</f>
        <v>0</v>
      </c>
    </row>
    <row r="158" spans="1:11" ht="11.1" customHeight="1">
      <c r="A158" s="11" t="s">
        <v>17</v>
      </c>
      <c r="B158" s="16"/>
      <c r="C158" s="27"/>
      <c r="D158" s="42"/>
      <c r="E158" s="28"/>
      <c r="F158" s="42"/>
      <c r="G158" s="42"/>
      <c r="H158" s="27"/>
      <c r="I158" s="95"/>
      <c r="J158" s="27"/>
      <c r="K158" s="27"/>
    </row>
    <row r="159" spans="1:11" ht="12.75" customHeight="1">
      <c r="A159" s="15" t="s">
        <v>63</v>
      </c>
      <c r="B159" s="16">
        <v>8067</v>
      </c>
      <c r="C159" s="17">
        <v>35050</v>
      </c>
      <c r="D159" s="18">
        <v>78118.2</v>
      </c>
      <c r="E159" s="18">
        <v>117658.8</v>
      </c>
      <c r="F159" s="18">
        <v>107778.4</v>
      </c>
      <c r="G159" s="18"/>
      <c r="H159" s="17">
        <v>132851</v>
      </c>
      <c r="I159" s="17">
        <f>132851-3500</f>
        <v>129351</v>
      </c>
      <c r="J159" s="17"/>
      <c r="K159" s="17"/>
    </row>
    <row r="160" spans="1:11" ht="12.75" customHeight="1">
      <c r="A160" s="15" t="s">
        <v>130</v>
      </c>
      <c r="B160" s="16"/>
      <c r="C160" s="17"/>
      <c r="D160" s="18">
        <v>45700</v>
      </c>
      <c r="E160" s="18">
        <v>8966</v>
      </c>
      <c r="F160" s="18"/>
      <c r="G160" s="18"/>
      <c r="H160" s="17"/>
      <c r="I160" s="17"/>
      <c r="J160" s="17"/>
      <c r="K160" s="17"/>
    </row>
    <row r="161" spans="1:11" ht="12.75" customHeight="1">
      <c r="A161" s="15" t="s">
        <v>167</v>
      </c>
      <c r="B161" s="16"/>
      <c r="C161" s="17"/>
      <c r="D161" s="18"/>
      <c r="E161" s="18"/>
      <c r="F161" s="18"/>
      <c r="G161" s="18"/>
      <c r="H161" s="17"/>
      <c r="I161" s="17">
        <v>26000</v>
      </c>
      <c r="J161" s="17"/>
      <c r="K161" s="17"/>
    </row>
    <row r="162" spans="1:11" ht="12.75" customHeight="1">
      <c r="A162" s="15" t="s">
        <v>27</v>
      </c>
      <c r="B162" s="16">
        <v>5786</v>
      </c>
      <c r="C162" s="17">
        <v>5786</v>
      </c>
      <c r="D162" s="18">
        <v>9260</v>
      </c>
      <c r="E162" s="18">
        <v>7545.4</v>
      </c>
      <c r="F162" s="18">
        <v>8400</v>
      </c>
      <c r="G162" s="18"/>
      <c r="H162" s="17">
        <v>8400</v>
      </c>
      <c r="I162" s="17">
        <v>8400</v>
      </c>
      <c r="J162" s="17"/>
      <c r="K162" s="17"/>
    </row>
    <row r="163" spans="1:11" ht="12.75" customHeight="1">
      <c r="A163" s="24" t="s">
        <v>29</v>
      </c>
      <c r="B163" s="25">
        <f>B167</f>
        <v>84875.5</v>
      </c>
      <c r="C163" s="26">
        <f t="shared" ref="C163" si="124">SUM(C166:C167)</f>
        <v>47810.5</v>
      </c>
      <c r="D163" s="26">
        <f>SUM(D165:D166)</f>
        <v>0</v>
      </c>
      <c r="E163" s="26">
        <f t="shared" ref="E163:H163" si="125">SUM(E165:E166)</f>
        <v>1298.7</v>
      </c>
      <c r="F163" s="26">
        <f t="shared" si="125"/>
        <v>0</v>
      </c>
      <c r="G163" s="26">
        <f t="shared" si="125"/>
        <v>0</v>
      </c>
      <c r="H163" s="26">
        <f t="shared" si="125"/>
        <v>0</v>
      </c>
      <c r="I163" s="26">
        <f t="shared" ref="I163" si="126">SUM(I165:I166)</f>
        <v>0</v>
      </c>
      <c r="J163" s="26">
        <f t="shared" ref="J163:K163" si="127">SUM(J166:J166)</f>
        <v>0</v>
      </c>
      <c r="K163" s="26">
        <f t="shared" si="127"/>
        <v>0</v>
      </c>
    </row>
    <row r="164" spans="1:11" ht="9.75" customHeight="1">
      <c r="A164" s="11" t="s">
        <v>8</v>
      </c>
      <c r="B164" s="16"/>
      <c r="C164" s="27"/>
      <c r="D164" s="28"/>
      <c r="E164" s="28"/>
      <c r="F164" s="28"/>
      <c r="G164" s="28"/>
      <c r="H164" s="27"/>
      <c r="I164" s="95"/>
      <c r="J164" s="17"/>
      <c r="K164" s="17"/>
    </row>
    <row r="165" spans="1:11" ht="12.75" customHeight="1">
      <c r="A165" s="15" t="s">
        <v>161</v>
      </c>
      <c r="B165" s="16"/>
      <c r="C165" s="27"/>
      <c r="D165" s="28"/>
      <c r="E165" s="28">
        <v>866.2</v>
      </c>
      <c r="F165" s="28"/>
      <c r="G165" s="28"/>
      <c r="H165" s="27"/>
      <c r="I165" s="95"/>
      <c r="J165" s="17"/>
      <c r="K165" s="17"/>
    </row>
    <row r="166" spans="1:11" ht="12.75" customHeight="1">
      <c r="A166" s="29" t="s">
        <v>39</v>
      </c>
      <c r="B166" s="30">
        <v>0</v>
      </c>
      <c r="C166" s="31">
        <v>4750</v>
      </c>
      <c r="D166" s="32"/>
      <c r="E166" s="32">
        <v>432.5</v>
      </c>
      <c r="F166" s="32"/>
      <c r="G166" s="32"/>
      <c r="H166" s="38"/>
      <c r="I166" s="38"/>
      <c r="J166" s="31"/>
      <c r="K166" s="31"/>
    </row>
    <row r="167" spans="1:11" ht="21.95" customHeight="1">
      <c r="A167" s="7" t="s">
        <v>64</v>
      </c>
      <c r="B167" s="8">
        <f>B170+B172</f>
        <v>84875.5</v>
      </c>
      <c r="C167" s="9">
        <f t="shared" ref="C167:H167" si="128">C168+C172</f>
        <v>43060.5</v>
      </c>
      <c r="D167" s="9">
        <f t="shared" ref="D167" si="129">D168+D172</f>
        <v>7720</v>
      </c>
      <c r="E167" s="9">
        <f t="shared" si="128"/>
        <v>12180.3</v>
      </c>
      <c r="F167" s="9">
        <f t="shared" si="128"/>
        <v>14624</v>
      </c>
      <c r="G167" s="9">
        <f t="shared" si="128"/>
        <v>0</v>
      </c>
      <c r="H167" s="9">
        <f t="shared" si="128"/>
        <v>15949</v>
      </c>
      <c r="I167" s="9">
        <f t="shared" ref="I167" si="130">I168+I172</f>
        <v>14624</v>
      </c>
      <c r="J167" s="9">
        <f t="shared" ref="J167" si="131">J168+J172</f>
        <v>0</v>
      </c>
      <c r="K167" s="9">
        <f t="shared" ref="K167" si="132">K168+K172</f>
        <v>0</v>
      </c>
    </row>
    <row r="168" spans="1:11" ht="12.75" customHeight="1">
      <c r="A168" s="24" t="s">
        <v>23</v>
      </c>
      <c r="B168" s="25">
        <f>B170</f>
        <v>2685</v>
      </c>
      <c r="C168" s="26">
        <f>C170</f>
        <v>6050</v>
      </c>
      <c r="D168" s="26">
        <f t="shared" ref="D168" si="133">SUM(D170:D171)</f>
        <v>5920</v>
      </c>
      <c r="E168" s="26">
        <f t="shared" ref="E168:K168" si="134">SUM(E170:E171)</f>
        <v>8094.3</v>
      </c>
      <c r="F168" s="26">
        <f t="shared" si="134"/>
        <v>14624</v>
      </c>
      <c r="G168" s="26">
        <f t="shared" si="134"/>
        <v>0</v>
      </c>
      <c r="H168" s="26">
        <f t="shared" si="134"/>
        <v>15949</v>
      </c>
      <c r="I168" s="26">
        <f t="shared" ref="I168" si="135">SUM(I170:I171)</f>
        <v>14624</v>
      </c>
      <c r="J168" s="26">
        <f t="shared" si="134"/>
        <v>0</v>
      </c>
      <c r="K168" s="26">
        <f t="shared" si="134"/>
        <v>0</v>
      </c>
    </row>
    <row r="169" spans="1:11" ht="11.1" customHeight="1">
      <c r="A169" s="11" t="s">
        <v>17</v>
      </c>
      <c r="B169" s="16"/>
      <c r="C169" s="27"/>
      <c r="D169" s="28"/>
      <c r="E169" s="28"/>
      <c r="F169" s="28"/>
      <c r="G169" s="28"/>
      <c r="H169" s="27"/>
      <c r="I169" s="27"/>
      <c r="J169" s="27"/>
      <c r="K169" s="27"/>
    </row>
    <row r="170" spans="1:11" ht="12.75" customHeight="1">
      <c r="A170" s="15" t="s">
        <v>27</v>
      </c>
      <c r="B170" s="16">
        <f>4785-2100</f>
        <v>2685</v>
      </c>
      <c r="C170" s="17">
        <v>6050</v>
      </c>
      <c r="D170" s="18">
        <v>5920</v>
      </c>
      <c r="E170" s="18">
        <v>7206.3</v>
      </c>
      <c r="F170" s="18">
        <v>14624</v>
      </c>
      <c r="G170" s="18"/>
      <c r="H170" s="17">
        <v>15949</v>
      </c>
      <c r="I170" s="17">
        <v>14624</v>
      </c>
      <c r="J170" s="17"/>
      <c r="K170" s="17"/>
    </row>
    <row r="171" spans="1:11" ht="12.75" customHeight="1">
      <c r="A171" s="15" t="s">
        <v>122</v>
      </c>
      <c r="B171" s="16"/>
      <c r="C171" s="17"/>
      <c r="D171" s="18"/>
      <c r="E171" s="18">
        <v>888</v>
      </c>
      <c r="F171" s="18"/>
      <c r="G171" s="18"/>
      <c r="H171" s="17"/>
      <c r="I171" s="26"/>
      <c r="J171" s="17"/>
      <c r="K171" s="17"/>
    </row>
    <row r="172" spans="1:11" ht="12.75" customHeight="1">
      <c r="A172" s="24" t="s">
        <v>29</v>
      </c>
      <c r="B172" s="25">
        <f>B177</f>
        <v>82190.5</v>
      </c>
      <c r="C172" s="26">
        <f>C177</f>
        <v>37010.5</v>
      </c>
      <c r="D172" s="26">
        <f t="shared" ref="D172" si="136">D177+D174+D176+D175</f>
        <v>1800</v>
      </c>
      <c r="E172" s="26">
        <f t="shared" ref="E172:K172" si="137">E177+E174+E176+E175</f>
        <v>4086</v>
      </c>
      <c r="F172" s="26">
        <f t="shared" si="137"/>
        <v>0</v>
      </c>
      <c r="G172" s="26">
        <f t="shared" si="137"/>
        <v>0</v>
      </c>
      <c r="H172" s="26">
        <f t="shared" si="137"/>
        <v>0</v>
      </c>
      <c r="I172" s="26">
        <f t="shared" ref="I172" si="138">I177+I174+I176+I175</f>
        <v>0</v>
      </c>
      <c r="J172" s="26">
        <f t="shared" si="137"/>
        <v>0</v>
      </c>
      <c r="K172" s="26">
        <f t="shared" si="137"/>
        <v>0</v>
      </c>
    </row>
    <row r="173" spans="1:11" ht="9" customHeight="1">
      <c r="A173" s="11" t="s">
        <v>17</v>
      </c>
      <c r="B173" s="16"/>
      <c r="C173" s="34"/>
      <c r="D173" s="35"/>
      <c r="E173" s="35"/>
      <c r="F173" s="35"/>
      <c r="G173" s="35"/>
      <c r="H173" s="34"/>
      <c r="I173" s="17"/>
      <c r="J173" s="34"/>
      <c r="K173" s="34"/>
    </row>
    <row r="174" spans="1:11" ht="12.75" customHeight="1">
      <c r="A174" s="15" t="s">
        <v>39</v>
      </c>
      <c r="B174" s="16"/>
      <c r="C174" s="34"/>
      <c r="D174" s="35">
        <v>600</v>
      </c>
      <c r="E174" s="35"/>
      <c r="F174" s="35"/>
      <c r="G174" s="35"/>
      <c r="H174" s="34"/>
      <c r="I174" s="17"/>
      <c r="J174" s="34"/>
      <c r="K174" s="34"/>
    </row>
    <row r="175" spans="1:11" ht="12.75" customHeight="1">
      <c r="A175" s="15" t="s">
        <v>144</v>
      </c>
      <c r="B175" s="16"/>
      <c r="C175" s="34"/>
      <c r="D175" s="35"/>
      <c r="E175" s="35">
        <v>2000</v>
      </c>
      <c r="F175" s="35"/>
      <c r="G175" s="35"/>
      <c r="H175" s="34"/>
      <c r="I175" s="17"/>
      <c r="J175" s="34"/>
      <c r="K175" s="34"/>
    </row>
    <row r="176" spans="1:11" ht="12.75" customHeight="1">
      <c r="A176" s="40" t="s">
        <v>57</v>
      </c>
      <c r="B176" s="30"/>
      <c r="C176" s="36"/>
      <c r="D176" s="37">
        <v>1200</v>
      </c>
      <c r="E176" s="37">
        <v>2086</v>
      </c>
      <c r="F176" s="37"/>
      <c r="G176" s="37"/>
      <c r="H176" s="36"/>
      <c r="I176" s="31"/>
      <c r="J176" s="34"/>
      <c r="K176" s="34"/>
    </row>
    <row r="177" spans="1:11" ht="12.75" hidden="1" customHeight="1">
      <c r="A177" s="40" t="s">
        <v>65</v>
      </c>
      <c r="B177" s="30">
        <v>82190.5</v>
      </c>
      <c r="C177" s="31">
        <v>37010.5</v>
      </c>
      <c r="D177" s="32"/>
      <c r="E177" s="32"/>
      <c r="F177" s="32"/>
      <c r="G177" s="32"/>
      <c r="H177" s="31"/>
      <c r="I177" s="31"/>
      <c r="J177" s="31"/>
      <c r="K177" s="31"/>
    </row>
    <row r="178" spans="1:11" ht="24.95" customHeight="1">
      <c r="A178" s="7" t="s">
        <v>66</v>
      </c>
      <c r="B178" s="8">
        <f t="shared" ref="B178:D178" si="139">B179+B182</f>
        <v>5705</v>
      </c>
      <c r="C178" s="9">
        <f t="shared" si="139"/>
        <v>5705</v>
      </c>
      <c r="D178" s="9">
        <f t="shared" si="139"/>
        <v>5505.2999999999993</v>
      </c>
      <c r="E178" s="9">
        <f t="shared" ref="E178:K178" si="140">E179+E182</f>
        <v>925.6</v>
      </c>
      <c r="F178" s="9">
        <f t="shared" si="140"/>
        <v>5263.4</v>
      </c>
      <c r="G178" s="9">
        <f t="shared" si="140"/>
        <v>0</v>
      </c>
      <c r="H178" s="9">
        <f t="shared" si="140"/>
        <v>5263.4</v>
      </c>
      <c r="I178" s="9">
        <f t="shared" ref="I178" si="141">I179+I182</f>
        <v>5263.4</v>
      </c>
      <c r="J178" s="9">
        <f t="shared" si="140"/>
        <v>0</v>
      </c>
      <c r="K178" s="9">
        <f t="shared" si="140"/>
        <v>0</v>
      </c>
    </row>
    <row r="179" spans="1:11" ht="15" customHeight="1">
      <c r="A179" s="24" t="s">
        <v>23</v>
      </c>
      <c r="B179" s="25">
        <f>SUM(B181:B181)</f>
        <v>4215</v>
      </c>
      <c r="C179" s="26">
        <f t="shared" ref="C179:J179" si="142">C181</f>
        <v>3574.9</v>
      </c>
      <c r="D179" s="26">
        <f t="shared" si="142"/>
        <v>4838.8999999999996</v>
      </c>
      <c r="E179" s="26">
        <f t="shared" ref="E179:H179" si="143">E181</f>
        <v>925.6</v>
      </c>
      <c r="F179" s="26">
        <f t="shared" si="143"/>
        <v>3883.4</v>
      </c>
      <c r="G179" s="26">
        <f t="shared" si="143"/>
        <v>0</v>
      </c>
      <c r="H179" s="26">
        <f t="shared" si="143"/>
        <v>5263.4</v>
      </c>
      <c r="I179" s="26">
        <f t="shared" ref="I179" si="144">I181</f>
        <v>5263.4</v>
      </c>
      <c r="J179" s="26">
        <f t="shared" si="142"/>
        <v>0</v>
      </c>
      <c r="K179" s="26">
        <f>K181</f>
        <v>0</v>
      </c>
    </row>
    <row r="180" spans="1:11" ht="11.1" customHeight="1">
      <c r="A180" s="11" t="s">
        <v>17</v>
      </c>
      <c r="B180" s="16"/>
      <c r="C180" s="27"/>
      <c r="D180" s="28"/>
      <c r="E180" s="28"/>
      <c r="F180" s="28"/>
      <c r="G180" s="28"/>
      <c r="H180" s="27"/>
      <c r="I180" s="27"/>
      <c r="J180" s="27"/>
      <c r="K180" s="27"/>
    </row>
    <row r="181" spans="1:11" ht="12.75" customHeight="1">
      <c r="A181" s="15" t="s">
        <v>56</v>
      </c>
      <c r="B181" s="16">
        <v>4215</v>
      </c>
      <c r="C181" s="17">
        <v>3574.9</v>
      </c>
      <c r="D181" s="18">
        <v>4838.8999999999996</v>
      </c>
      <c r="E181" s="18">
        <v>925.6</v>
      </c>
      <c r="F181" s="18">
        <v>3883.4</v>
      </c>
      <c r="G181" s="18"/>
      <c r="H181" s="17">
        <v>5263.4</v>
      </c>
      <c r="I181" s="17">
        <v>5263.4</v>
      </c>
      <c r="J181" s="17"/>
      <c r="K181" s="17"/>
    </row>
    <row r="182" spans="1:11" ht="15" customHeight="1">
      <c r="A182" s="24" t="s">
        <v>29</v>
      </c>
      <c r="B182" s="25">
        <v>1490</v>
      </c>
      <c r="C182" s="26">
        <f t="shared" ref="C182:K182" si="145">C184</f>
        <v>2130.1</v>
      </c>
      <c r="D182" s="26">
        <f t="shared" ref="D182" si="146">D184</f>
        <v>666.4</v>
      </c>
      <c r="E182" s="26">
        <f t="shared" si="145"/>
        <v>0</v>
      </c>
      <c r="F182" s="26">
        <f t="shared" si="145"/>
        <v>1380</v>
      </c>
      <c r="G182" s="26">
        <f t="shared" si="145"/>
        <v>0</v>
      </c>
      <c r="H182" s="26">
        <f t="shared" si="145"/>
        <v>0</v>
      </c>
      <c r="I182" s="26">
        <f t="shared" ref="I182" si="147">I184</f>
        <v>0</v>
      </c>
      <c r="J182" s="26">
        <f t="shared" si="145"/>
        <v>0</v>
      </c>
      <c r="K182" s="26">
        <f t="shared" si="145"/>
        <v>0</v>
      </c>
    </row>
    <row r="183" spans="1:11" ht="11.1" customHeight="1">
      <c r="A183" s="11" t="s">
        <v>17</v>
      </c>
      <c r="B183" s="16"/>
      <c r="C183" s="34"/>
      <c r="D183" s="35"/>
      <c r="E183" s="35"/>
      <c r="F183" s="35"/>
      <c r="G183" s="35"/>
      <c r="H183" s="34"/>
      <c r="I183" s="34"/>
      <c r="J183" s="34"/>
      <c r="K183" s="34"/>
    </row>
    <row r="184" spans="1:11" ht="12.75" customHeight="1">
      <c r="A184" s="29" t="s">
        <v>39</v>
      </c>
      <c r="B184" s="30">
        <v>1490</v>
      </c>
      <c r="C184" s="31">
        <v>2130.1</v>
      </c>
      <c r="D184" s="32">
        <v>666.4</v>
      </c>
      <c r="E184" s="32"/>
      <c r="F184" s="32">
        <v>1380</v>
      </c>
      <c r="G184" s="32"/>
      <c r="H184" s="31"/>
      <c r="I184" s="31"/>
      <c r="J184" s="31"/>
      <c r="K184" s="31"/>
    </row>
    <row r="185" spans="1:11" ht="18.95" customHeight="1">
      <c r="A185" s="7" t="s">
        <v>67</v>
      </c>
      <c r="B185" s="8">
        <f t="shared" ref="B185:K185" si="148">B186</f>
        <v>59734</v>
      </c>
      <c r="C185" s="9">
        <f t="shared" si="148"/>
        <v>22679</v>
      </c>
      <c r="D185" s="9">
        <f t="shared" si="148"/>
        <v>168000</v>
      </c>
      <c r="E185" s="9">
        <f t="shared" si="148"/>
        <v>61987.5</v>
      </c>
      <c r="F185" s="9">
        <f t="shared" si="148"/>
        <v>125548</v>
      </c>
      <c r="G185" s="9">
        <f t="shared" si="148"/>
        <v>0</v>
      </c>
      <c r="H185" s="9">
        <f t="shared" si="148"/>
        <v>220000</v>
      </c>
      <c r="I185" s="9">
        <f t="shared" si="148"/>
        <v>88831.5</v>
      </c>
      <c r="J185" s="9">
        <f t="shared" si="148"/>
        <v>0</v>
      </c>
      <c r="K185" s="9">
        <f t="shared" si="148"/>
        <v>0</v>
      </c>
    </row>
    <row r="186" spans="1:11" ht="15" customHeight="1">
      <c r="A186" s="24" t="s">
        <v>23</v>
      </c>
      <c r="B186" s="25">
        <f>SUM(B188:B191)</f>
        <v>59734</v>
      </c>
      <c r="C186" s="26">
        <f>SUM(C188:C191)</f>
        <v>22679</v>
      </c>
      <c r="D186" s="26">
        <f t="shared" ref="D186" si="149">SUM(D188:D191)</f>
        <v>168000</v>
      </c>
      <c r="E186" s="26">
        <f t="shared" ref="E186:K186" si="150">SUM(E188:E191)</f>
        <v>61987.5</v>
      </c>
      <c r="F186" s="26">
        <f t="shared" si="150"/>
        <v>125548</v>
      </c>
      <c r="G186" s="26">
        <f t="shared" si="150"/>
        <v>0</v>
      </c>
      <c r="H186" s="26">
        <f t="shared" si="150"/>
        <v>220000</v>
      </c>
      <c r="I186" s="26">
        <f t="shared" si="150"/>
        <v>88831.5</v>
      </c>
      <c r="J186" s="26">
        <f t="shared" si="150"/>
        <v>0</v>
      </c>
      <c r="K186" s="26">
        <f t="shared" si="150"/>
        <v>0</v>
      </c>
    </row>
    <row r="187" spans="1:11" ht="11.1" customHeight="1">
      <c r="A187" s="11" t="s">
        <v>17</v>
      </c>
      <c r="B187" s="12"/>
      <c r="C187" s="27"/>
      <c r="D187" s="28"/>
      <c r="E187" s="28"/>
      <c r="F187" s="28"/>
      <c r="G187" s="28"/>
      <c r="H187" s="27"/>
      <c r="I187" s="95"/>
      <c r="J187" s="27"/>
      <c r="K187" s="27"/>
    </row>
    <row r="188" spans="1:11" ht="12.75" customHeight="1">
      <c r="A188" s="15" t="s">
        <v>177</v>
      </c>
      <c r="B188" s="16">
        <v>39734</v>
      </c>
      <c r="C188" s="17">
        <v>2679</v>
      </c>
      <c r="D188" s="18">
        <v>98000</v>
      </c>
      <c r="E188" s="18"/>
      <c r="F188" s="18">
        <v>63680</v>
      </c>
      <c r="G188" s="18"/>
      <c r="H188" s="17">
        <v>150000</v>
      </c>
      <c r="I188" s="17">
        <f>50000+4000+953-15650-200-1520-16174.1-600</f>
        <v>20808.900000000001</v>
      </c>
      <c r="J188" s="17"/>
      <c r="K188" s="17"/>
    </row>
    <row r="189" spans="1:11" ht="12.75" customHeight="1">
      <c r="A189" s="15" t="s">
        <v>145</v>
      </c>
      <c r="B189" s="16"/>
      <c r="C189" s="17"/>
      <c r="D189" s="18"/>
      <c r="E189" s="18">
        <v>40747.300000000003</v>
      </c>
      <c r="F189" s="18"/>
      <c r="G189" s="18"/>
      <c r="H189" s="17"/>
      <c r="I189" s="17"/>
      <c r="J189" s="17"/>
      <c r="K189" s="17"/>
    </row>
    <row r="190" spans="1:11" ht="12.75" customHeight="1">
      <c r="A190" s="15" t="s">
        <v>132</v>
      </c>
      <c r="B190" s="16"/>
      <c r="C190" s="17"/>
      <c r="D190" s="18"/>
      <c r="E190" s="18">
        <v>5542.4</v>
      </c>
      <c r="F190" s="18"/>
      <c r="G190" s="18"/>
      <c r="H190" s="17"/>
      <c r="I190" s="17"/>
      <c r="J190" s="17"/>
      <c r="K190" s="17"/>
    </row>
    <row r="191" spans="1:11" ht="12.75" customHeight="1">
      <c r="A191" s="29" t="s">
        <v>68</v>
      </c>
      <c r="B191" s="30">
        <v>20000</v>
      </c>
      <c r="C191" s="31">
        <v>20000</v>
      </c>
      <c r="D191" s="32">
        <v>70000</v>
      </c>
      <c r="E191" s="32">
        <v>15697.8</v>
      </c>
      <c r="F191" s="32">
        <v>61868</v>
      </c>
      <c r="G191" s="32"/>
      <c r="H191" s="31">
        <v>70000</v>
      </c>
      <c r="I191" s="31">
        <f>70000-2077.4+100</f>
        <v>68022.600000000006</v>
      </c>
      <c r="J191" s="31"/>
      <c r="K191" s="31"/>
    </row>
    <row r="192" spans="1:11" ht="12.75" customHeight="1">
      <c r="A192" s="7" t="s">
        <v>162</v>
      </c>
      <c r="B192" s="8">
        <f t="shared" ref="B192:I192" si="151">B193</f>
        <v>323734</v>
      </c>
      <c r="C192" s="9">
        <f t="shared" si="151"/>
        <v>311679</v>
      </c>
      <c r="D192" s="9">
        <f t="shared" si="151"/>
        <v>0</v>
      </c>
      <c r="E192" s="9">
        <f t="shared" si="151"/>
        <v>1481.2</v>
      </c>
      <c r="F192" s="9">
        <f t="shared" si="151"/>
        <v>2000</v>
      </c>
      <c r="G192" s="9">
        <f t="shared" si="151"/>
        <v>0</v>
      </c>
      <c r="H192" s="9">
        <f t="shared" si="151"/>
        <v>3000</v>
      </c>
      <c r="I192" s="9">
        <f t="shared" si="151"/>
        <v>2000</v>
      </c>
      <c r="J192" s="17"/>
      <c r="K192" s="17"/>
    </row>
    <row r="193" spans="1:11" ht="12.75" customHeight="1">
      <c r="A193" s="24" t="s">
        <v>23</v>
      </c>
      <c r="B193" s="25">
        <f>SUM(B195:B198)</f>
        <v>323734</v>
      </c>
      <c r="C193" s="26">
        <f>SUM(C195:C198)</f>
        <v>311679</v>
      </c>
      <c r="D193" s="26">
        <f>D195</f>
        <v>0</v>
      </c>
      <c r="E193" s="26">
        <f t="shared" ref="E193:H193" si="152">E195</f>
        <v>1481.2</v>
      </c>
      <c r="F193" s="26">
        <f t="shared" si="152"/>
        <v>2000</v>
      </c>
      <c r="G193" s="26">
        <f t="shared" si="152"/>
        <v>0</v>
      </c>
      <c r="H193" s="26">
        <f t="shared" si="152"/>
        <v>3000</v>
      </c>
      <c r="I193" s="26">
        <f t="shared" ref="I193" si="153">I195</f>
        <v>2000</v>
      </c>
      <c r="J193" s="17"/>
      <c r="K193" s="17"/>
    </row>
    <row r="194" spans="1:11" ht="12.75" customHeight="1">
      <c r="A194" s="11" t="s">
        <v>17</v>
      </c>
      <c r="B194" s="12"/>
      <c r="C194" s="27"/>
      <c r="D194" s="28"/>
      <c r="E194" s="28"/>
      <c r="F194" s="28"/>
      <c r="G194" s="28"/>
      <c r="H194" s="27"/>
      <c r="I194" s="26"/>
      <c r="J194" s="17"/>
      <c r="K194" s="17"/>
    </row>
    <row r="195" spans="1:11" ht="12.75" customHeight="1">
      <c r="A195" s="29" t="s">
        <v>27</v>
      </c>
      <c r="B195" s="30">
        <v>39734</v>
      </c>
      <c r="C195" s="31">
        <v>2679</v>
      </c>
      <c r="D195" s="32"/>
      <c r="E195" s="32">
        <v>1481.2</v>
      </c>
      <c r="F195" s="32">
        <v>2000</v>
      </c>
      <c r="G195" s="32"/>
      <c r="H195" s="31">
        <v>3000</v>
      </c>
      <c r="I195" s="31">
        <v>2000</v>
      </c>
      <c r="J195" s="17"/>
      <c r="K195" s="17"/>
    </row>
    <row r="196" spans="1:11" ht="20.100000000000001" customHeight="1">
      <c r="A196" s="7" t="s">
        <v>69</v>
      </c>
      <c r="B196" s="43">
        <v>200000</v>
      </c>
      <c r="C196" s="44">
        <f t="shared" ref="C196:K196" si="154">C197+C207+C210</f>
        <v>225000</v>
      </c>
      <c r="D196" s="9">
        <f t="shared" ref="D196" si="155">D197+D207+D210</f>
        <v>295998</v>
      </c>
      <c r="E196" s="9">
        <f t="shared" si="154"/>
        <v>265463.5</v>
      </c>
      <c r="F196" s="9">
        <f t="shared" si="154"/>
        <v>332729.09999999992</v>
      </c>
      <c r="G196" s="9">
        <f t="shared" si="154"/>
        <v>0</v>
      </c>
      <c r="H196" s="9">
        <f t="shared" si="154"/>
        <v>289341.3</v>
      </c>
      <c r="I196" s="9">
        <f t="shared" si="154"/>
        <v>228185.66999999998</v>
      </c>
      <c r="J196" s="44">
        <f t="shared" si="154"/>
        <v>0</v>
      </c>
      <c r="K196" s="44">
        <f t="shared" si="154"/>
        <v>0</v>
      </c>
    </row>
    <row r="197" spans="1:11" ht="14.1" customHeight="1">
      <c r="A197" s="45" t="s">
        <v>70</v>
      </c>
      <c r="B197" s="46">
        <v>84000</v>
      </c>
      <c r="C197" s="47">
        <f>SUM(C199:C206)</f>
        <v>84000</v>
      </c>
      <c r="D197" s="47">
        <f t="shared" ref="D197" si="156">SUM(D199:D206)</f>
        <v>60100</v>
      </c>
      <c r="E197" s="47">
        <f>SUM(E199:E206)</f>
        <v>68749.100000000006</v>
      </c>
      <c r="F197" s="47">
        <f t="shared" ref="F197:I197" si="157">SUM(F199:F206)</f>
        <v>50000</v>
      </c>
      <c r="G197" s="47">
        <f t="shared" si="157"/>
        <v>0</v>
      </c>
      <c r="H197" s="47">
        <f t="shared" si="157"/>
        <v>75800</v>
      </c>
      <c r="I197" s="47">
        <f t="shared" si="157"/>
        <v>29644.37</v>
      </c>
      <c r="J197" s="47"/>
      <c r="K197" s="47"/>
    </row>
    <row r="198" spans="1:11" ht="10.5" customHeight="1">
      <c r="A198" s="15" t="s">
        <v>71</v>
      </c>
      <c r="B198" s="48"/>
      <c r="C198" s="17"/>
      <c r="D198" s="18"/>
      <c r="E198" s="18"/>
      <c r="F198" s="18"/>
      <c r="G198" s="18"/>
      <c r="H198" s="17"/>
      <c r="I198" s="17"/>
      <c r="J198" s="17"/>
      <c r="K198" s="17"/>
    </row>
    <row r="199" spans="1:11" ht="14.1" customHeight="1">
      <c r="A199" s="15" t="s">
        <v>72</v>
      </c>
      <c r="B199" s="48">
        <v>500</v>
      </c>
      <c r="C199" s="17">
        <v>500</v>
      </c>
      <c r="D199" s="18"/>
      <c r="E199" s="18"/>
      <c r="F199" s="18"/>
      <c r="G199" s="18"/>
      <c r="H199" s="17"/>
      <c r="I199" s="17"/>
      <c r="J199" s="17"/>
      <c r="K199" s="17"/>
    </row>
    <row r="200" spans="1:11" ht="14.1" customHeight="1">
      <c r="A200" s="15" t="s">
        <v>73</v>
      </c>
      <c r="B200" s="48">
        <v>9000</v>
      </c>
      <c r="C200" s="49">
        <v>9000</v>
      </c>
      <c r="D200" s="50">
        <v>7500</v>
      </c>
      <c r="E200" s="50">
        <f>4966.6+2531.4</f>
        <v>7498</v>
      </c>
      <c r="F200" s="50">
        <v>5000</v>
      </c>
      <c r="G200" s="50"/>
      <c r="H200" s="49">
        <v>7500</v>
      </c>
      <c r="I200" s="49">
        <f>E200*0.7</f>
        <v>5248.5999999999995</v>
      </c>
      <c r="J200" s="49"/>
      <c r="K200" s="49"/>
    </row>
    <row r="201" spans="1:11" ht="14.1" customHeight="1">
      <c r="A201" s="15" t="s">
        <v>74</v>
      </c>
      <c r="B201" s="48">
        <v>13530</v>
      </c>
      <c r="C201" s="49">
        <v>13530</v>
      </c>
      <c r="D201" s="50">
        <v>6500</v>
      </c>
      <c r="E201" s="50">
        <v>6423.1</v>
      </c>
      <c r="F201" s="50">
        <v>5000</v>
      </c>
      <c r="G201" s="50"/>
      <c r="H201" s="49">
        <v>8500</v>
      </c>
      <c r="I201" s="49">
        <f t="shared" ref="I201:I206" si="158">E201*0.7</f>
        <v>4496.17</v>
      </c>
      <c r="J201" s="49"/>
      <c r="K201" s="49"/>
    </row>
    <row r="202" spans="1:11" ht="14.1" customHeight="1">
      <c r="A202" s="15" t="s">
        <v>75</v>
      </c>
      <c r="B202" s="48">
        <v>2700</v>
      </c>
      <c r="C202" s="49">
        <v>2700</v>
      </c>
      <c r="D202" s="50">
        <v>2000</v>
      </c>
      <c r="E202" s="50">
        <v>3720</v>
      </c>
      <c r="F202" s="50">
        <v>1000</v>
      </c>
      <c r="G202" s="50"/>
      <c r="H202" s="49">
        <v>3300</v>
      </c>
      <c r="I202" s="49">
        <f t="shared" si="158"/>
        <v>2604</v>
      </c>
      <c r="J202" s="49"/>
      <c r="K202" s="49"/>
    </row>
    <row r="203" spans="1:11" ht="14.1" customHeight="1">
      <c r="A203" s="15" t="s">
        <v>76</v>
      </c>
      <c r="B203" s="48">
        <v>4510</v>
      </c>
      <c r="C203" s="49">
        <v>4510</v>
      </c>
      <c r="D203" s="50">
        <v>2000</v>
      </c>
      <c r="E203" s="50">
        <v>1994.2</v>
      </c>
      <c r="F203" s="50">
        <v>2000</v>
      </c>
      <c r="G203" s="50"/>
      <c r="H203" s="49">
        <v>2500</v>
      </c>
      <c r="I203" s="49">
        <f t="shared" si="158"/>
        <v>1395.94</v>
      </c>
      <c r="J203" s="49"/>
      <c r="K203" s="49"/>
    </row>
    <row r="204" spans="1:11" ht="14.1" customHeight="1">
      <c r="A204" s="15" t="s">
        <v>77</v>
      </c>
      <c r="B204" s="48">
        <v>10280</v>
      </c>
      <c r="C204" s="49">
        <v>10280</v>
      </c>
      <c r="D204" s="50">
        <v>5000</v>
      </c>
      <c r="E204" s="50">
        <v>13400</v>
      </c>
      <c r="F204" s="50">
        <v>5000</v>
      </c>
      <c r="G204" s="50"/>
      <c r="H204" s="49">
        <v>13800</v>
      </c>
      <c r="I204" s="49">
        <f t="shared" si="158"/>
        <v>9380</v>
      </c>
      <c r="J204" s="49"/>
      <c r="K204" s="49"/>
    </row>
    <row r="205" spans="1:11" ht="14.1" customHeight="1">
      <c r="A205" s="15" t="s">
        <v>78</v>
      </c>
      <c r="B205" s="48">
        <v>28340</v>
      </c>
      <c r="C205" s="49">
        <v>28340</v>
      </c>
      <c r="D205" s="50">
        <v>26600</v>
      </c>
      <c r="E205" s="50">
        <v>26400</v>
      </c>
      <c r="F205" s="50">
        <v>26500</v>
      </c>
      <c r="G205" s="50"/>
      <c r="H205" s="49">
        <v>26500</v>
      </c>
      <c r="I205" s="49"/>
      <c r="J205" s="49"/>
      <c r="K205" s="49"/>
    </row>
    <row r="206" spans="1:11" ht="14.1" customHeight="1">
      <c r="A206" s="15" t="s">
        <v>79</v>
      </c>
      <c r="B206" s="48">
        <v>15140</v>
      </c>
      <c r="C206" s="49">
        <v>15140</v>
      </c>
      <c r="D206" s="50">
        <v>10500</v>
      </c>
      <c r="E206" s="50">
        <f>7050.2+2263.6</f>
        <v>9313.7999999999993</v>
      </c>
      <c r="F206" s="50">
        <v>5500</v>
      </c>
      <c r="G206" s="50"/>
      <c r="H206" s="49">
        <v>13700</v>
      </c>
      <c r="I206" s="49">
        <f t="shared" si="158"/>
        <v>6519.6599999999989</v>
      </c>
      <c r="J206" s="49"/>
      <c r="K206" s="49"/>
    </row>
    <row r="207" spans="1:11" ht="14.1" customHeight="1">
      <c r="A207" s="45" t="s">
        <v>80</v>
      </c>
      <c r="B207" s="46">
        <v>45000</v>
      </c>
      <c r="C207" s="47">
        <f>C208+C209</f>
        <v>45000</v>
      </c>
      <c r="D207" s="47">
        <f t="shared" ref="D207" si="159">D208+D209</f>
        <v>25000</v>
      </c>
      <c r="E207" s="47">
        <f t="shared" ref="E207:H207" si="160">E208+E209</f>
        <v>47379.899999999994</v>
      </c>
      <c r="F207" s="47">
        <f t="shared" si="160"/>
        <v>35000</v>
      </c>
      <c r="G207" s="47">
        <f t="shared" si="160"/>
        <v>0</v>
      </c>
      <c r="H207" s="47">
        <f t="shared" si="160"/>
        <v>50000</v>
      </c>
      <c r="I207" s="47">
        <f t="shared" ref="I207" si="161">I208+I209</f>
        <v>35000</v>
      </c>
      <c r="J207" s="47"/>
      <c r="K207" s="47"/>
    </row>
    <row r="208" spans="1:11" ht="14.1" customHeight="1">
      <c r="A208" s="15" t="s">
        <v>81</v>
      </c>
      <c r="B208" s="48">
        <v>25000</v>
      </c>
      <c r="C208" s="17">
        <v>25000</v>
      </c>
      <c r="D208" s="18">
        <v>13000</v>
      </c>
      <c r="E208" s="18">
        <v>29039.1</v>
      </c>
      <c r="F208" s="18">
        <v>18000</v>
      </c>
      <c r="G208" s="18"/>
      <c r="H208" s="17">
        <v>25500</v>
      </c>
      <c r="I208" s="49">
        <v>18000</v>
      </c>
      <c r="J208" s="17"/>
      <c r="K208" s="17"/>
    </row>
    <row r="209" spans="1:11" ht="14.1" customHeight="1">
      <c r="A209" s="15" t="s">
        <v>82</v>
      </c>
      <c r="B209" s="48">
        <v>20000</v>
      </c>
      <c r="C209" s="17">
        <v>20000</v>
      </c>
      <c r="D209" s="18">
        <v>12000</v>
      </c>
      <c r="E209" s="18">
        <v>18340.8</v>
      </c>
      <c r="F209" s="18">
        <v>17000</v>
      </c>
      <c r="G209" s="18"/>
      <c r="H209" s="17">
        <v>24500</v>
      </c>
      <c r="I209" s="49">
        <v>17000</v>
      </c>
      <c r="J209" s="17"/>
      <c r="K209" s="17"/>
    </row>
    <row r="210" spans="1:11" ht="14.1" customHeight="1">
      <c r="A210" s="45" t="s">
        <v>83</v>
      </c>
      <c r="B210" s="46">
        <v>71000</v>
      </c>
      <c r="C210" s="47">
        <f>C211+C221</f>
        <v>96000</v>
      </c>
      <c r="D210" s="47">
        <f t="shared" ref="D210" si="162">D211+D221</f>
        <v>210898</v>
      </c>
      <c r="E210" s="47">
        <f t="shared" ref="E210" si="163">E211+E221</f>
        <v>149334.5</v>
      </c>
      <c r="F210" s="47">
        <f t="shared" ref="F210" si="164">F211+F221</f>
        <v>247729.09999999992</v>
      </c>
      <c r="G210" s="47">
        <f t="shared" ref="G210:H210" si="165">G211+G221</f>
        <v>0</v>
      </c>
      <c r="H210" s="47">
        <f t="shared" si="165"/>
        <v>163541.29999999999</v>
      </c>
      <c r="I210" s="47">
        <f t="shared" ref="I210" si="166">I211+I221</f>
        <v>163541.29999999999</v>
      </c>
      <c r="J210" s="47"/>
      <c r="K210" s="47"/>
    </row>
    <row r="211" spans="1:11" ht="14.1" customHeight="1">
      <c r="A211" s="15" t="s">
        <v>84</v>
      </c>
      <c r="B211" s="48">
        <v>45000</v>
      </c>
      <c r="C211" s="17">
        <v>36000</v>
      </c>
      <c r="D211" s="18">
        <f t="shared" ref="D211" si="167">SUM(D212:D220)</f>
        <v>79730.399999999994</v>
      </c>
      <c r="E211" s="18">
        <f>SUM(E212:E220)</f>
        <v>55782</v>
      </c>
      <c r="F211" s="18">
        <f t="shared" ref="F211:G211" si="168">SUM(F212:F220)</f>
        <v>35612.9</v>
      </c>
      <c r="G211" s="18">
        <f t="shared" si="168"/>
        <v>0</v>
      </c>
      <c r="H211" s="18">
        <f t="shared" ref="H211:I211" si="169">SUM(H212:H220)</f>
        <v>79975</v>
      </c>
      <c r="I211" s="17">
        <f t="shared" si="169"/>
        <v>18775</v>
      </c>
      <c r="J211" s="17"/>
      <c r="K211" s="17"/>
    </row>
    <row r="212" spans="1:11" ht="14.1" customHeight="1">
      <c r="A212" s="15" t="s">
        <v>85</v>
      </c>
      <c r="B212" s="48"/>
      <c r="C212" s="17"/>
      <c r="D212" s="18">
        <v>79730.399999999994</v>
      </c>
      <c r="E212" s="18">
        <v>31420.9</v>
      </c>
      <c r="F212" s="18">
        <v>22530.7</v>
      </c>
      <c r="G212" s="18"/>
      <c r="H212" s="18">
        <f>14050+40500+24600</f>
        <v>79150</v>
      </c>
      <c r="I212" s="17">
        <v>17150</v>
      </c>
      <c r="J212" s="17"/>
      <c r="K212" s="17"/>
    </row>
    <row r="213" spans="1:11" ht="14.1" customHeight="1">
      <c r="A213" s="15" t="s">
        <v>171</v>
      </c>
      <c r="B213" s="48"/>
      <c r="C213" s="17"/>
      <c r="D213" s="18"/>
      <c r="E213" s="18">
        <v>560.70000000000005</v>
      </c>
      <c r="F213" s="18">
        <v>3023.2</v>
      </c>
      <c r="G213" s="18"/>
      <c r="H213" s="18">
        <v>195</v>
      </c>
      <c r="I213" s="17">
        <v>195</v>
      </c>
      <c r="J213" s="17"/>
      <c r="K213" s="17"/>
    </row>
    <row r="214" spans="1:11" ht="14.1" customHeight="1">
      <c r="A214" s="15" t="s">
        <v>146</v>
      </c>
      <c r="B214" s="48"/>
      <c r="C214" s="17"/>
      <c r="D214" s="18"/>
      <c r="E214" s="18">
        <v>13107.9</v>
      </c>
      <c r="F214" s="18">
        <v>9249</v>
      </c>
      <c r="G214" s="18"/>
      <c r="H214" s="18">
        <v>600</v>
      </c>
      <c r="I214" s="17"/>
      <c r="J214" s="17"/>
      <c r="K214" s="17"/>
    </row>
    <row r="215" spans="1:11" ht="14.1" customHeight="1">
      <c r="A215" s="15" t="s">
        <v>86</v>
      </c>
      <c r="B215" s="48"/>
      <c r="C215" s="17"/>
      <c r="D215" s="18"/>
      <c r="E215" s="18"/>
      <c r="F215" s="18"/>
      <c r="G215" s="18"/>
      <c r="H215" s="18"/>
      <c r="I215" s="17"/>
      <c r="J215" s="17"/>
      <c r="K215" s="17"/>
    </row>
    <row r="216" spans="1:11" ht="14.1" customHeight="1">
      <c r="A216" s="15" t="s">
        <v>133</v>
      </c>
      <c r="B216" s="48"/>
      <c r="C216" s="17"/>
      <c r="D216" s="18"/>
      <c r="E216" s="18">
        <v>7992.8</v>
      </c>
      <c r="F216" s="18"/>
      <c r="G216" s="18"/>
      <c r="H216" s="18"/>
      <c r="I216" s="17"/>
      <c r="J216" s="17"/>
      <c r="K216" s="17"/>
    </row>
    <row r="217" spans="1:11" ht="14.1" customHeight="1">
      <c r="A217" s="15" t="s">
        <v>87</v>
      </c>
      <c r="B217" s="48"/>
      <c r="C217" s="17"/>
      <c r="D217" s="18"/>
      <c r="E217" s="18"/>
      <c r="F217" s="18">
        <v>661.7</v>
      </c>
      <c r="G217" s="18"/>
      <c r="H217" s="18"/>
      <c r="I217" s="17"/>
      <c r="J217" s="17"/>
      <c r="K217" s="17"/>
    </row>
    <row r="218" spans="1:11" ht="14.1" customHeight="1">
      <c r="A218" s="15" t="s">
        <v>148</v>
      </c>
      <c r="B218" s="48"/>
      <c r="C218" s="17"/>
      <c r="D218" s="18"/>
      <c r="E218" s="18">
        <v>1901.6</v>
      </c>
      <c r="F218" s="18">
        <v>100</v>
      </c>
      <c r="G218" s="18"/>
      <c r="H218" s="18"/>
      <c r="I218" s="17">
        <v>140</v>
      </c>
      <c r="J218" s="17"/>
      <c r="K218" s="17"/>
    </row>
    <row r="219" spans="1:11" ht="14.1" customHeight="1">
      <c r="A219" s="15" t="s">
        <v>134</v>
      </c>
      <c r="B219" s="48"/>
      <c r="C219" s="17"/>
      <c r="D219" s="18"/>
      <c r="E219" s="18"/>
      <c r="F219" s="18">
        <v>48.3</v>
      </c>
      <c r="G219" s="18"/>
      <c r="H219" s="18">
        <v>30</v>
      </c>
      <c r="I219" s="17"/>
      <c r="J219" s="17"/>
      <c r="K219" s="17"/>
    </row>
    <row r="220" spans="1:11" ht="14.1" customHeight="1">
      <c r="A220" s="15" t="s">
        <v>135</v>
      </c>
      <c r="B220" s="48"/>
      <c r="C220" s="17"/>
      <c r="D220" s="18"/>
      <c r="E220" s="18">
        <v>798.1</v>
      </c>
      <c r="F220" s="18"/>
      <c r="G220" s="18"/>
      <c r="H220" s="18"/>
      <c r="I220" s="17">
        <v>1290</v>
      </c>
      <c r="J220" s="17"/>
      <c r="K220" s="17"/>
    </row>
    <row r="221" spans="1:11" ht="14.1" customHeight="1">
      <c r="A221" s="15" t="s">
        <v>82</v>
      </c>
      <c r="B221" s="48">
        <v>26000</v>
      </c>
      <c r="C221" s="17">
        <v>60000</v>
      </c>
      <c r="D221" s="18">
        <f t="shared" ref="D221:I221" si="170">SUM(D222:D231)</f>
        <v>131167.6</v>
      </c>
      <c r="E221" s="18">
        <f t="shared" si="170"/>
        <v>93552.5</v>
      </c>
      <c r="F221" s="18">
        <f t="shared" si="170"/>
        <v>212116.19999999992</v>
      </c>
      <c r="G221" s="18">
        <f t="shared" si="170"/>
        <v>0</v>
      </c>
      <c r="H221" s="18">
        <f t="shared" si="170"/>
        <v>83566.3</v>
      </c>
      <c r="I221" s="17">
        <f t="shared" si="170"/>
        <v>144766.29999999999</v>
      </c>
      <c r="J221" s="17"/>
      <c r="K221" s="17"/>
    </row>
    <row r="222" spans="1:11" ht="14.1" customHeight="1">
      <c r="A222" s="15" t="s">
        <v>85</v>
      </c>
      <c r="B222" s="48"/>
      <c r="C222" s="17"/>
      <c r="D222" s="18">
        <v>131167.6</v>
      </c>
      <c r="E222" s="18">
        <v>580.1</v>
      </c>
      <c r="F222" s="18">
        <v>169592.8</v>
      </c>
      <c r="G222" s="18"/>
      <c r="H222" s="17"/>
      <c r="I222" s="17">
        <v>65286.3</v>
      </c>
      <c r="J222" s="17"/>
      <c r="K222" s="17"/>
    </row>
    <row r="223" spans="1:11" ht="14.1" customHeight="1">
      <c r="A223" s="15" t="s">
        <v>171</v>
      </c>
      <c r="B223" s="48"/>
      <c r="C223" s="17"/>
      <c r="D223" s="18"/>
      <c r="E223" s="18">
        <v>1392</v>
      </c>
      <c r="F223" s="18">
        <v>3006.8</v>
      </c>
      <c r="G223" s="18"/>
      <c r="H223" s="17"/>
      <c r="I223" s="17"/>
      <c r="J223" s="17"/>
      <c r="K223" s="17"/>
    </row>
    <row r="224" spans="1:11" ht="14.1" customHeight="1">
      <c r="A224" s="15" t="s">
        <v>146</v>
      </c>
      <c r="B224" s="48"/>
      <c r="C224" s="17"/>
      <c r="D224" s="18"/>
      <c r="E224" s="18">
        <v>1198</v>
      </c>
      <c r="F224" s="18"/>
      <c r="G224" s="18"/>
      <c r="H224" s="17"/>
      <c r="I224" s="17">
        <v>600</v>
      </c>
      <c r="J224" s="17"/>
      <c r="K224" s="17"/>
    </row>
    <row r="225" spans="1:11" ht="14.1" customHeight="1">
      <c r="A225" s="15" t="s">
        <v>147</v>
      </c>
      <c r="B225" s="48"/>
      <c r="C225" s="17"/>
      <c r="D225" s="18"/>
      <c r="E225" s="18"/>
      <c r="F225" s="18">
        <v>1471.5</v>
      </c>
      <c r="G225" s="18"/>
      <c r="H225" s="17">
        <v>4576.3</v>
      </c>
      <c r="I225" s="17"/>
      <c r="J225" s="17"/>
      <c r="K225" s="17"/>
    </row>
    <row r="226" spans="1:11" ht="14.1" customHeight="1">
      <c r="A226" s="15" t="s">
        <v>134</v>
      </c>
      <c r="B226" s="48"/>
      <c r="C226" s="17"/>
      <c r="D226" s="18"/>
      <c r="E226" s="18"/>
      <c r="F226" s="18">
        <v>4199.8999999999996</v>
      </c>
      <c r="G226" s="18"/>
      <c r="H226" s="17"/>
      <c r="I226" s="17">
        <v>30</v>
      </c>
      <c r="J226" s="17"/>
      <c r="K226" s="17"/>
    </row>
    <row r="227" spans="1:11" ht="14.1" customHeight="1">
      <c r="A227" s="15" t="s">
        <v>86</v>
      </c>
      <c r="B227" s="48"/>
      <c r="C227" s="17"/>
      <c r="D227" s="18"/>
      <c r="E227" s="18">
        <v>31584.1</v>
      </c>
      <c r="F227" s="18">
        <v>104.3</v>
      </c>
      <c r="G227" s="18"/>
      <c r="H227" s="17">
        <v>67500</v>
      </c>
      <c r="I227" s="17">
        <v>67500</v>
      </c>
      <c r="J227" s="17"/>
      <c r="K227" s="17"/>
    </row>
    <row r="228" spans="1:11" ht="14.1" customHeight="1">
      <c r="A228" s="15" t="s">
        <v>148</v>
      </c>
      <c r="B228" s="48"/>
      <c r="C228" s="17"/>
      <c r="D228" s="18"/>
      <c r="E228" s="18">
        <v>8655.2000000000007</v>
      </c>
      <c r="F228" s="18">
        <v>15062.8</v>
      </c>
      <c r="G228" s="18"/>
      <c r="H228" s="17">
        <v>140</v>
      </c>
      <c r="I228" s="17"/>
      <c r="J228" s="17"/>
      <c r="K228" s="17"/>
    </row>
    <row r="229" spans="1:11" ht="14.1" customHeight="1">
      <c r="A229" s="15" t="s">
        <v>149</v>
      </c>
      <c r="B229" s="48"/>
      <c r="C229" s="17"/>
      <c r="D229" s="18"/>
      <c r="E229" s="18"/>
      <c r="F229" s="18"/>
      <c r="G229" s="18"/>
      <c r="H229" s="17"/>
      <c r="I229" s="17"/>
      <c r="J229" s="17"/>
      <c r="K229" s="17"/>
    </row>
    <row r="230" spans="1:11" ht="14.1" customHeight="1">
      <c r="A230" s="15" t="s">
        <v>87</v>
      </c>
      <c r="B230" s="48"/>
      <c r="C230" s="17"/>
      <c r="D230" s="18"/>
      <c r="E230" s="18">
        <v>46755.8</v>
      </c>
      <c r="F230" s="18">
        <v>18509.3</v>
      </c>
      <c r="G230" s="18"/>
      <c r="H230" s="17">
        <v>11350</v>
      </c>
      <c r="I230" s="17">
        <v>11350</v>
      </c>
      <c r="J230" s="17"/>
      <c r="K230" s="17"/>
    </row>
    <row r="231" spans="1:11" ht="14.1" customHeight="1">
      <c r="A231" s="29" t="s">
        <v>135</v>
      </c>
      <c r="B231" s="51"/>
      <c r="C231" s="31"/>
      <c r="D231" s="32"/>
      <c r="E231" s="32">
        <v>3387.3</v>
      </c>
      <c r="F231" s="32">
        <v>168.8</v>
      </c>
      <c r="G231" s="32"/>
      <c r="H231" s="31"/>
      <c r="I231" s="31"/>
      <c r="J231" s="31"/>
      <c r="K231" s="31"/>
    </row>
    <row r="232" spans="1:11" ht="20.100000000000001" customHeight="1">
      <c r="A232" s="7" t="s">
        <v>88</v>
      </c>
      <c r="B232" s="8" t="e">
        <f>B234+B235</f>
        <v>#REF!</v>
      </c>
      <c r="C232" s="9">
        <f>C234+C235</f>
        <v>514692</v>
      </c>
      <c r="D232" s="9">
        <f t="shared" ref="D232" si="171">D234+D235</f>
        <v>213220.7</v>
      </c>
      <c r="E232" s="9">
        <f t="shared" ref="E232:K232" si="172">E234+E235</f>
        <v>292271.19999999995</v>
      </c>
      <c r="F232" s="9">
        <f t="shared" si="172"/>
        <v>228908.1</v>
      </c>
      <c r="G232" s="9">
        <f t="shared" si="172"/>
        <v>0</v>
      </c>
      <c r="H232" s="9">
        <f>SUM(H237:H273)</f>
        <v>1016166.2</v>
      </c>
      <c r="I232" s="9">
        <f>I237+I240+I245+I251+I255+I260+I268+I273+I279+I243</f>
        <v>162000</v>
      </c>
      <c r="J232" s="9">
        <f t="shared" si="172"/>
        <v>0</v>
      </c>
      <c r="K232" s="9">
        <f t="shared" si="172"/>
        <v>0</v>
      </c>
    </row>
    <row r="233" spans="1:11" ht="11.1" customHeight="1">
      <c r="A233" s="15" t="s">
        <v>17</v>
      </c>
      <c r="B233" s="12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ht="12.75" customHeight="1">
      <c r="A234" s="22" t="s">
        <v>23</v>
      </c>
      <c r="B234" s="12">
        <f>B251+B270+B275</f>
        <v>9350</v>
      </c>
      <c r="C234" s="13">
        <f>C251+C270+C275+C266</f>
        <v>17020</v>
      </c>
      <c r="D234" s="13">
        <f>D252+D257+D263+D266+D270+D275+D280+D265+D277</f>
        <v>19525</v>
      </c>
      <c r="E234" s="13">
        <f>E252+E257+E263+E266+E270+E275+E280+E265+E277</f>
        <v>33694.300000000003</v>
      </c>
      <c r="F234" s="13">
        <f>F252+F257+F263+F266+F270+F275+F280+F265+F277</f>
        <v>13747.2</v>
      </c>
      <c r="G234" s="13">
        <f>G252+G257+G263+G266+G270+G275+G280+G265+G277</f>
        <v>0</v>
      </c>
      <c r="H234" s="13">
        <f>H252+H257+H263+H266+H270+H275+H280+H265+H277</f>
        <v>0</v>
      </c>
      <c r="I234" s="13">
        <f>I252+I257+I263+I266+I270+I275+I280+I265+I277+I279</f>
        <v>15417</v>
      </c>
      <c r="J234" s="13">
        <f>J251+J270+J275+J266</f>
        <v>0</v>
      </c>
      <c r="K234" s="13">
        <f>K251+K270+K275+K266</f>
        <v>0</v>
      </c>
    </row>
    <row r="235" spans="1:11" ht="12.75" customHeight="1">
      <c r="A235" s="22" t="s">
        <v>29</v>
      </c>
      <c r="B235" s="12" t="e">
        <f>B237+B240+B245+B249+B251+B255+B260+B268+B273-B234</f>
        <v>#REF!</v>
      </c>
      <c r="C235" s="13">
        <f>C237+C240+C245+C249+C251+C255+C260+C268+C273-C234</f>
        <v>497672</v>
      </c>
      <c r="D235" s="13">
        <f>D238+D239+D241+D242+D246+D247+D248+D250+D253+D254+D256+D258+D259+D261+D262+D267+D269+D271+D272+D274+D276+D278+D279+D264</f>
        <v>193695.7</v>
      </c>
      <c r="E235" s="13">
        <f>E238+E239+E241+E242+E246+E247+E248+E250+E253+E254+E256+E258+E259+E261+E262+E267+E269+E271+E272+E274+E276+E278+E279+E264</f>
        <v>258576.89999999997</v>
      </c>
      <c r="F235" s="13">
        <f>F238+F239+F241+F242+F246+F247+F248+F250+F253+F254+F256+F258+F259+F261+F262+F267+F269+F271+F272+F274+F276+F278+F279+F264</f>
        <v>215160.9</v>
      </c>
      <c r="G235" s="13">
        <f>G238+G239+G241+G242+G246+G247+G248+G250+G253+G254+G256+G258+G259+G261+G262+G267+G269+G271+G272+G274+G276+G278+G279+G264</f>
        <v>0</v>
      </c>
      <c r="H235" s="13">
        <v>1016166.2</v>
      </c>
      <c r="I235" s="13">
        <f>I238+I239+I241+I242+I246+I247+I248+I250+I253+I254+I256+I258+I259+I261+I262+I267+I269+I271+I272+I274+I276+I278+I264+I244</f>
        <v>146583</v>
      </c>
      <c r="J235" s="13">
        <f>J237+J240+J245+J249+J251+J255+J260+J268+J273-J234</f>
        <v>0</v>
      </c>
      <c r="K235" s="13">
        <f>K237+K240+K245+K249+K251+K255+K260+K268+K273-K234</f>
        <v>0</v>
      </c>
    </row>
    <row r="236" spans="1:11" ht="12.75" customHeight="1">
      <c r="A236" s="11" t="s">
        <v>89</v>
      </c>
      <c r="B236" s="12"/>
      <c r="C236" s="17"/>
      <c r="D236" s="18"/>
      <c r="E236" s="18"/>
      <c r="F236" s="18"/>
      <c r="G236" s="18"/>
      <c r="H236" s="17"/>
      <c r="I236" s="17"/>
      <c r="J236" s="17"/>
      <c r="K236" s="17"/>
    </row>
    <row r="237" spans="1:11" ht="12.75" hidden="1" customHeight="1">
      <c r="A237" s="45" t="s">
        <v>90</v>
      </c>
      <c r="B237" s="52">
        <v>2187</v>
      </c>
      <c r="C237" s="47">
        <f>C238+C239</f>
        <v>2000</v>
      </c>
      <c r="D237" s="47">
        <f t="shared" ref="D237" si="173">D238+D239</f>
        <v>0</v>
      </c>
      <c r="E237" s="47">
        <f t="shared" ref="E237:H237" si="174">E238+E239</f>
        <v>0</v>
      </c>
      <c r="F237" s="47">
        <f t="shared" si="174"/>
        <v>0</v>
      </c>
      <c r="G237" s="47">
        <f t="shared" si="174"/>
        <v>0</v>
      </c>
      <c r="H237" s="47">
        <f t="shared" si="174"/>
        <v>0</v>
      </c>
      <c r="I237" s="47">
        <f t="shared" ref="I237" si="175">I238+I239</f>
        <v>0</v>
      </c>
      <c r="J237" s="47">
        <f t="shared" ref="J237" si="176">J238+J239</f>
        <v>0</v>
      </c>
      <c r="K237" s="47">
        <f t="shared" ref="K237" si="177">K238+K239</f>
        <v>0</v>
      </c>
    </row>
    <row r="238" spans="1:11" ht="12.75" hidden="1" customHeight="1">
      <c r="A238" s="15" t="s">
        <v>91</v>
      </c>
      <c r="B238" s="16">
        <v>2150</v>
      </c>
      <c r="C238" s="17">
        <v>2000</v>
      </c>
      <c r="D238" s="18"/>
      <c r="E238" s="18"/>
      <c r="F238" s="18"/>
      <c r="G238" s="18"/>
      <c r="H238" s="17"/>
      <c r="I238" s="17"/>
      <c r="J238" s="17"/>
      <c r="K238" s="17"/>
    </row>
    <row r="239" spans="1:11" ht="12.75" hidden="1" customHeight="1">
      <c r="A239" s="15" t="s">
        <v>92</v>
      </c>
      <c r="B239" s="16">
        <v>37</v>
      </c>
      <c r="C239" s="17">
        <v>0</v>
      </c>
      <c r="D239" s="18"/>
      <c r="E239" s="18"/>
      <c r="F239" s="18"/>
      <c r="G239" s="18"/>
      <c r="H239" s="17"/>
      <c r="I239" s="17"/>
      <c r="J239" s="17"/>
      <c r="K239" s="17"/>
    </row>
    <row r="240" spans="1:11" ht="12.75" customHeight="1">
      <c r="A240" s="45" t="s">
        <v>93</v>
      </c>
      <c r="B240" s="52" t="e">
        <f>B241+#REF!</f>
        <v>#REF!</v>
      </c>
      <c r="C240" s="47">
        <f>SUM(C241:C242)</f>
        <v>18642</v>
      </c>
      <c r="D240" s="47">
        <f t="shared" ref="D240" si="178">D241+D242</f>
        <v>3000</v>
      </c>
      <c r="E240" s="47">
        <f t="shared" ref="E240:I240" si="179">E241+E242</f>
        <v>2226.5</v>
      </c>
      <c r="F240" s="47">
        <f t="shared" si="179"/>
        <v>2000</v>
      </c>
      <c r="G240" s="47">
        <f t="shared" si="179"/>
        <v>0</v>
      </c>
      <c r="H240" s="47">
        <v>3000</v>
      </c>
      <c r="I240" s="47">
        <f t="shared" si="179"/>
        <v>2000</v>
      </c>
      <c r="J240" s="47">
        <f t="shared" ref="J240" si="180">J241+J242</f>
        <v>0</v>
      </c>
      <c r="K240" s="47">
        <f t="shared" ref="K240" si="181">K241+K242</f>
        <v>0</v>
      </c>
    </row>
    <row r="241" spans="1:11" ht="12.75" customHeight="1">
      <c r="A241" s="15" t="s">
        <v>91</v>
      </c>
      <c r="B241" s="16">
        <v>10000</v>
      </c>
      <c r="C241" s="17">
        <v>10445</v>
      </c>
      <c r="D241" s="18">
        <v>3000</v>
      </c>
      <c r="E241" s="18">
        <v>2226.5</v>
      </c>
      <c r="F241" s="18">
        <v>510</v>
      </c>
      <c r="G241" s="18"/>
      <c r="H241" s="17"/>
      <c r="I241" s="17">
        <v>1700</v>
      </c>
      <c r="J241" s="17"/>
      <c r="K241" s="17"/>
    </row>
    <row r="242" spans="1:11" ht="12.75" customHeight="1">
      <c r="A242" s="15" t="s">
        <v>92</v>
      </c>
      <c r="B242" s="16"/>
      <c r="C242" s="17">
        <v>8197</v>
      </c>
      <c r="D242" s="18"/>
      <c r="E242" s="18"/>
      <c r="F242" s="18">
        <v>1490</v>
      </c>
      <c r="G242" s="18"/>
      <c r="H242" s="17"/>
      <c r="I242" s="17">
        <v>300</v>
      </c>
      <c r="J242" s="17"/>
      <c r="K242" s="17"/>
    </row>
    <row r="243" spans="1:11" ht="12.75" customHeight="1">
      <c r="A243" s="45" t="s">
        <v>172</v>
      </c>
      <c r="B243" s="16"/>
      <c r="C243" s="17"/>
      <c r="D243" s="18"/>
      <c r="E243" s="18"/>
      <c r="F243" s="18"/>
      <c r="G243" s="18"/>
      <c r="H243" s="17"/>
      <c r="I243" s="47">
        <v>4000</v>
      </c>
      <c r="J243" s="17"/>
      <c r="K243" s="17"/>
    </row>
    <row r="244" spans="1:11" ht="12.75" customHeight="1">
      <c r="A244" s="15" t="s">
        <v>173</v>
      </c>
      <c r="B244" s="16"/>
      <c r="C244" s="17"/>
      <c r="D244" s="18"/>
      <c r="E244" s="18"/>
      <c r="F244" s="18"/>
      <c r="G244" s="18"/>
      <c r="H244" s="17"/>
      <c r="I244" s="17">
        <v>4000</v>
      </c>
      <c r="J244" s="17"/>
      <c r="K244" s="17"/>
    </row>
    <row r="245" spans="1:11" ht="12.75" customHeight="1">
      <c r="A245" s="45" t="s">
        <v>94</v>
      </c>
      <c r="B245" s="52">
        <v>100000</v>
      </c>
      <c r="C245" s="47">
        <f>C246+C247</f>
        <v>120000</v>
      </c>
      <c r="D245" s="47">
        <f>D246+D247+D248</f>
        <v>17939.899999999998</v>
      </c>
      <c r="E245" s="47">
        <f t="shared" ref="E245:I245" si="182">E246+E247+E248</f>
        <v>51132.5</v>
      </c>
      <c r="F245" s="47">
        <f t="shared" si="182"/>
        <v>63000</v>
      </c>
      <c r="G245" s="47">
        <f t="shared" si="182"/>
        <v>0</v>
      </c>
      <c r="H245" s="47">
        <v>273000</v>
      </c>
      <c r="I245" s="47">
        <f t="shared" si="182"/>
        <v>40000</v>
      </c>
      <c r="J245" s="47">
        <f t="shared" ref="J245" si="183">J246+J247</f>
        <v>0</v>
      </c>
      <c r="K245" s="47">
        <f t="shared" ref="K245" si="184">K246+K247</f>
        <v>0</v>
      </c>
    </row>
    <row r="246" spans="1:11" ht="12.75" customHeight="1">
      <c r="A246" s="15" t="s">
        <v>95</v>
      </c>
      <c r="B246" s="16">
        <v>100000</v>
      </c>
      <c r="C246" s="17">
        <v>87900</v>
      </c>
      <c r="D246" s="18">
        <v>2210.6</v>
      </c>
      <c r="E246" s="18">
        <v>20169.7</v>
      </c>
      <c r="F246" s="18"/>
      <c r="G246" s="18"/>
      <c r="H246" s="17"/>
      <c r="I246" s="17">
        <v>15000</v>
      </c>
      <c r="J246" s="17"/>
      <c r="K246" s="17"/>
    </row>
    <row r="247" spans="1:11" ht="12.75" customHeight="1">
      <c r="A247" s="15" t="s">
        <v>96</v>
      </c>
      <c r="B247" s="16">
        <v>0</v>
      </c>
      <c r="C247" s="17">
        <v>32100</v>
      </c>
      <c r="D247" s="18">
        <v>15729.3</v>
      </c>
      <c r="E247" s="18">
        <v>30962.799999999999</v>
      </c>
      <c r="F247" s="18">
        <v>53000</v>
      </c>
      <c r="G247" s="18"/>
      <c r="H247" s="17"/>
      <c r="I247" s="17">
        <v>20000</v>
      </c>
      <c r="J247" s="17"/>
      <c r="K247" s="17"/>
    </row>
    <row r="248" spans="1:11" ht="12.75" customHeight="1">
      <c r="A248" s="15" t="s">
        <v>92</v>
      </c>
      <c r="B248" s="16"/>
      <c r="C248" s="17"/>
      <c r="D248" s="18"/>
      <c r="E248" s="18"/>
      <c r="F248" s="18">
        <v>10000</v>
      </c>
      <c r="G248" s="18"/>
      <c r="H248" s="17"/>
      <c r="I248" s="17">
        <v>5000</v>
      </c>
      <c r="J248" s="17"/>
      <c r="K248" s="17"/>
    </row>
    <row r="249" spans="1:11" ht="12.75" hidden="1" customHeight="1">
      <c r="A249" s="45" t="s">
        <v>97</v>
      </c>
      <c r="B249" s="52">
        <v>300</v>
      </c>
      <c r="C249" s="47">
        <f>C250</f>
        <v>300</v>
      </c>
      <c r="D249" s="47">
        <f t="shared" ref="D249:H249" si="185">D250</f>
        <v>0</v>
      </c>
      <c r="E249" s="47">
        <f t="shared" si="185"/>
        <v>0</v>
      </c>
      <c r="F249" s="47">
        <f t="shared" si="185"/>
        <v>0</v>
      </c>
      <c r="G249" s="47">
        <f t="shared" si="185"/>
        <v>0</v>
      </c>
      <c r="H249" s="47">
        <f t="shared" si="185"/>
        <v>0</v>
      </c>
      <c r="I249" s="47">
        <f t="shared" ref="I249" si="186">I250</f>
        <v>0</v>
      </c>
      <c r="J249" s="47">
        <f t="shared" ref="J249" si="187">J250</f>
        <v>0</v>
      </c>
      <c r="K249" s="47">
        <f t="shared" ref="K249" si="188">K250</f>
        <v>0</v>
      </c>
    </row>
    <row r="250" spans="1:11" ht="12.75" hidden="1" customHeight="1">
      <c r="A250" s="15" t="s">
        <v>91</v>
      </c>
      <c r="B250" s="16">
        <v>300</v>
      </c>
      <c r="C250" s="17">
        <v>300</v>
      </c>
      <c r="D250" s="18"/>
      <c r="E250" s="18">
        <v>0</v>
      </c>
      <c r="F250" s="18"/>
      <c r="G250" s="18"/>
      <c r="H250" s="17"/>
      <c r="I250" s="17"/>
      <c r="J250" s="17"/>
      <c r="K250" s="17"/>
    </row>
    <row r="251" spans="1:11" ht="12.75" customHeight="1">
      <c r="A251" s="45" t="s">
        <v>98</v>
      </c>
      <c r="B251" s="52">
        <v>0</v>
      </c>
      <c r="C251" s="47">
        <f>C252</f>
        <v>750</v>
      </c>
      <c r="D251" s="47">
        <f>D252+D253+D254</f>
        <v>1618</v>
      </c>
      <c r="E251" s="47">
        <f t="shared" ref="E251:G251" si="189">E252+E253+E254</f>
        <v>579.70000000000005</v>
      </c>
      <c r="F251" s="47">
        <f t="shared" si="189"/>
        <v>4557.2</v>
      </c>
      <c r="G251" s="47">
        <f t="shared" si="189"/>
        <v>0</v>
      </c>
      <c r="H251" s="47">
        <v>2004</v>
      </c>
      <c r="I251" s="47">
        <v>1000</v>
      </c>
      <c r="J251" s="47">
        <f t="shared" ref="J251" si="190">J252</f>
        <v>0</v>
      </c>
      <c r="K251" s="47">
        <f t="shared" ref="K251" si="191">K252</f>
        <v>0</v>
      </c>
    </row>
    <row r="252" spans="1:11" ht="12.75" customHeight="1">
      <c r="A252" s="15" t="s">
        <v>99</v>
      </c>
      <c r="B252" s="16">
        <v>0</v>
      </c>
      <c r="C252" s="17">
        <v>750</v>
      </c>
      <c r="D252" s="18">
        <v>1618</v>
      </c>
      <c r="E252" s="18">
        <v>579.70000000000005</v>
      </c>
      <c r="F252" s="18">
        <v>3497.2</v>
      </c>
      <c r="G252" s="18"/>
      <c r="H252" s="17"/>
      <c r="I252" s="17"/>
      <c r="J252" s="17"/>
      <c r="K252" s="17"/>
    </row>
    <row r="253" spans="1:11" ht="12.75" customHeight="1">
      <c r="A253" s="15" t="s">
        <v>96</v>
      </c>
      <c r="B253" s="16"/>
      <c r="C253" s="17"/>
      <c r="D253" s="18"/>
      <c r="E253" s="18"/>
      <c r="F253" s="18">
        <v>560</v>
      </c>
      <c r="G253" s="18"/>
      <c r="H253" s="17"/>
      <c r="I253" s="17"/>
      <c r="J253" s="17"/>
      <c r="K253" s="17"/>
    </row>
    <row r="254" spans="1:11" ht="12.75" customHeight="1">
      <c r="A254" s="15" t="s">
        <v>92</v>
      </c>
      <c r="B254" s="16"/>
      <c r="C254" s="17"/>
      <c r="D254" s="18"/>
      <c r="E254" s="18"/>
      <c r="F254" s="18">
        <v>500</v>
      </c>
      <c r="G254" s="18"/>
      <c r="H254" s="17"/>
      <c r="I254" s="17">
        <v>1000</v>
      </c>
      <c r="J254" s="17"/>
      <c r="K254" s="17"/>
    </row>
    <row r="255" spans="1:11" ht="12.75" customHeight="1">
      <c r="A255" s="45" t="s">
        <v>100</v>
      </c>
      <c r="B255" s="52">
        <v>48000</v>
      </c>
      <c r="C255" s="47">
        <f>SUM(C256:C259)</f>
        <v>48000</v>
      </c>
      <c r="D255" s="47">
        <f t="shared" ref="D255" si="192">D256+D257+D258+D259</f>
        <v>50950</v>
      </c>
      <c r="E255" s="47">
        <f t="shared" ref="E255:I255" si="193">E256+E257+E258+E259</f>
        <v>86591</v>
      </c>
      <c r="F255" s="47">
        <f t="shared" si="193"/>
        <v>38200</v>
      </c>
      <c r="G255" s="47">
        <f t="shared" si="193"/>
        <v>0</v>
      </c>
      <c r="H255" s="47">
        <v>157630</v>
      </c>
      <c r="I255" s="47">
        <f t="shared" si="193"/>
        <v>30000</v>
      </c>
      <c r="J255" s="47">
        <f t="shared" ref="J255" si="194">J256+J257+J258+J259</f>
        <v>0</v>
      </c>
      <c r="K255" s="47">
        <f t="shared" ref="K255" si="195">K256+K257+K258+K259</f>
        <v>0</v>
      </c>
    </row>
    <row r="256" spans="1:11" ht="12.75" customHeight="1">
      <c r="A256" s="15" t="s">
        <v>101</v>
      </c>
      <c r="B256" s="16">
        <v>48000</v>
      </c>
      <c r="C256" s="17">
        <v>42500</v>
      </c>
      <c r="D256" s="18">
        <v>39600</v>
      </c>
      <c r="E256" s="18">
        <v>67335.7</v>
      </c>
      <c r="F256" s="18">
        <v>28900</v>
      </c>
      <c r="G256" s="18"/>
      <c r="H256" s="17"/>
      <c r="I256" s="17">
        <v>19100</v>
      </c>
      <c r="J256" s="17"/>
      <c r="K256" s="17"/>
    </row>
    <row r="257" spans="1:11" ht="12.75" customHeight="1">
      <c r="A257" s="15" t="s">
        <v>108</v>
      </c>
      <c r="B257" s="16"/>
      <c r="C257" s="17"/>
      <c r="D257" s="18">
        <v>10600</v>
      </c>
      <c r="E257" s="18">
        <v>18505.3</v>
      </c>
      <c r="F257" s="18">
        <v>9050</v>
      </c>
      <c r="G257" s="18"/>
      <c r="H257" s="17"/>
      <c r="I257" s="17">
        <v>6900</v>
      </c>
      <c r="J257" s="17"/>
      <c r="K257" s="17"/>
    </row>
    <row r="258" spans="1:11" ht="12.75" customHeight="1">
      <c r="A258" s="15" t="s">
        <v>102</v>
      </c>
      <c r="B258" s="16">
        <v>0</v>
      </c>
      <c r="C258" s="17">
        <v>500</v>
      </c>
      <c r="D258" s="18">
        <v>750</v>
      </c>
      <c r="E258" s="18">
        <v>750</v>
      </c>
      <c r="F258" s="18"/>
      <c r="G258" s="18"/>
      <c r="H258" s="17"/>
      <c r="I258" s="17"/>
      <c r="J258" s="17"/>
      <c r="K258" s="17"/>
    </row>
    <row r="259" spans="1:11" ht="12.75" customHeight="1">
      <c r="A259" s="15" t="s">
        <v>92</v>
      </c>
      <c r="B259" s="16">
        <v>0</v>
      </c>
      <c r="C259" s="17">
        <v>5000</v>
      </c>
      <c r="D259" s="18"/>
      <c r="E259" s="18"/>
      <c r="F259" s="18">
        <v>250</v>
      </c>
      <c r="G259" s="18"/>
      <c r="H259" s="17"/>
      <c r="I259" s="17">
        <v>4000</v>
      </c>
      <c r="J259" s="17"/>
      <c r="K259" s="17"/>
    </row>
    <row r="260" spans="1:11" ht="12.75" customHeight="1">
      <c r="A260" s="45" t="s">
        <v>103</v>
      </c>
      <c r="B260" s="52">
        <f>SUM(B261:B267)</f>
        <v>150000</v>
      </c>
      <c r="C260" s="47">
        <f>SUM(C261:C267)</f>
        <v>200000</v>
      </c>
      <c r="D260" s="47">
        <f t="shared" ref="D260" si="196">D261+D262+D263+D264+D265+D266+D267</f>
        <v>65681.8</v>
      </c>
      <c r="E260" s="47">
        <f t="shared" ref="E260:I260" si="197">E261+E262+E263+E264+E265+E266+E267</f>
        <v>81335.600000000006</v>
      </c>
      <c r="F260" s="47">
        <f t="shared" si="197"/>
        <v>79780</v>
      </c>
      <c r="G260" s="47">
        <f t="shared" si="197"/>
        <v>0</v>
      </c>
      <c r="H260" s="47">
        <f>68836+343870.2</f>
        <v>412706.2</v>
      </c>
      <c r="I260" s="47">
        <f t="shared" si="197"/>
        <v>70000</v>
      </c>
      <c r="J260" s="47">
        <f t="shared" ref="J260" si="198">J261+J262+J263+J264+J265+J266+J267</f>
        <v>0</v>
      </c>
      <c r="K260" s="47">
        <f t="shared" ref="K260" si="199">K261+K262+K263+K264+K265+K266+K267</f>
        <v>0</v>
      </c>
    </row>
    <row r="261" spans="1:11" ht="12.75" customHeight="1">
      <c r="A261" s="15" t="s">
        <v>91</v>
      </c>
      <c r="B261" s="16">
        <v>120000</v>
      </c>
      <c r="C261" s="17">
        <v>189690</v>
      </c>
      <c r="D261" s="18">
        <v>7074</v>
      </c>
      <c r="E261" s="18">
        <v>25508.6</v>
      </c>
      <c r="F261" s="18">
        <v>53416</v>
      </c>
      <c r="G261" s="18"/>
      <c r="H261" s="17"/>
      <c r="I261" s="17">
        <v>55700</v>
      </c>
      <c r="J261" s="17"/>
      <c r="K261" s="17"/>
    </row>
    <row r="262" spans="1:11" ht="12.75" customHeight="1">
      <c r="A262" s="15" t="s">
        <v>104</v>
      </c>
      <c r="B262" s="16">
        <v>30000</v>
      </c>
      <c r="C262" s="17">
        <v>0</v>
      </c>
      <c r="D262" s="18">
        <v>54215</v>
      </c>
      <c r="E262" s="18">
        <v>47106.9</v>
      </c>
      <c r="F262" s="18">
        <v>10855</v>
      </c>
      <c r="G262" s="18"/>
      <c r="H262" s="17"/>
      <c r="I262" s="17">
        <v>500</v>
      </c>
      <c r="J262" s="17"/>
      <c r="K262" s="17"/>
    </row>
    <row r="263" spans="1:11" ht="12.75" customHeight="1">
      <c r="A263" s="15" t="s">
        <v>136</v>
      </c>
      <c r="B263" s="16"/>
      <c r="C263" s="17"/>
      <c r="D263" s="18"/>
      <c r="E263" s="18"/>
      <c r="F263" s="18"/>
      <c r="G263" s="18"/>
      <c r="H263" s="17"/>
      <c r="I263" s="17"/>
      <c r="J263" s="17"/>
      <c r="K263" s="17"/>
    </row>
    <row r="264" spans="1:11" ht="12.75" customHeight="1">
      <c r="A264" s="15" t="s">
        <v>138</v>
      </c>
      <c r="B264" s="16"/>
      <c r="C264" s="17"/>
      <c r="D264" s="18">
        <v>2481</v>
      </c>
      <c r="E264" s="18">
        <v>5363.5</v>
      </c>
      <c r="F264" s="18">
        <v>6009</v>
      </c>
      <c r="G264" s="18"/>
      <c r="H264" s="17"/>
      <c r="I264" s="17">
        <v>283</v>
      </c>
      <c r="J264" s="17"/>
      <c r="K264" s="17"/>
    </row>
    <row r="265" spans="1:11" ht="12.75" customHeight="1">
      <c r="A265" s="15" t="s">
        <v>108</v>
      </c>
      <c r="B265" s="16"/>
      <c r="C265" s="17"/>
      <c r="D265" s="18"/>
      <c r="E265" s="18"/>
      <c r="F265" s="18"/>
      <c r="G265" s="18"/>
      <c r="H265" s="17"/>
      <c r="I265" s="17">
        <v>4517</v>
      </c>
      <c r="J265" s="17"/>
      <c r="K265" s="17"/>
    </row>
    <row r="266" spans="1:11" ht="12.75" customHeight="1">
      <c r="A266" s="15" t="s">
        <v>105</v>
      </c>
      <c r="B266" s="16">
        <v>0</v>
      </c>
      <c r="C266" s="17">
        <v>9640</v>
      </c>
      <c r="D266" s="18"/>
      <c r="E266" s="18">
        <v>3356.6</v>
      </c>
      <c r="F266" s="18"/>
      <c r="G266" s="18"/>
      <c r="H266" s="17"/>
      <c r="I266" s="17"/>
      <c r="J266" s="17"/>
      <c r="K266" s="17"/>
    </row>
    <row r="267" spans="1:11" ht="12.75" customHeight="1">
      <c r="A267" s="15" t="s">
        <v>92</v>
      </c>
      <c r="B267" s="16">
        <v>0</v>
      </c>
      <c r="C267" s="17">
        <v>670</v>
      </c>
      <c r="D267" s="18">
        <v>1911.8</v>
      </c>
      <c r="E267" s="18"/>
      <c r="F267" s="18">
        <v>9500</v>
      </c>
      <c r="G267" s="18"/>
      <c r="H267" s="17"/>
      <c r="I267" s="17">
        <v>9000</v>
      </c>
      <c r="J267" s="17"/>
      <c r="K267" s="17"/>
    </row>
    <row r="268" spans="1:11" ht="12.75" customHeight="1">
      <c r="A268" s="45" t="s">
        <v>106</v>
      </c>
      <c r="B268" s="52">
        <v>10000</v>
      </c>
      <c r="C268" s="47">
        <f>SUM(C269:C272)</f>
        <v>10000</v>
      </c>
      <c r="D268" s="47">
        <f t="shared" ref="D268" si="200">D269+D270+D271+D272</f>
        <v>5000</v>
      </c>
      <c r="E268" s="47">
        <f t="shared" ref="E268:H268" si="201">E269+E270+E271+E272</f>
        <v>1751.1</v>
      </c>
      <c r="F268" s="47">
        <f t="shared" si="201"/>
        <v>3500</v>
      </c>
      <c r="G268" s="47">
        <f t="shared" si="201"/>
        <v>0</v>
      </c>
      <c r="H268" s="47">
        <f t="shared" si="201"/>
        <v>0</v>
      </c>
      <c r="I268" s="47">
        <f t="shared" ref="I268" si="202">I269+I270+I271+I272</f>
        <v>0</v>
      </c>
      <c r="J268" s="47">
        <f t="shared" ref="J268" si="203">J269+J270+J271+J272</f>
        <v>0</v>
      </c>
      <c r="K268" s="47">
        <f t="shared" ref="K268" si="204">K269+K270+K271+K272</f>
        <v>0</v>
      </c>
    </row>
    <row r="269" spans="1:11" ht="12.75" customHeight="1">
      <c r="A269" s="15" t="s">
        <v>107</v>
      </c>
      <c r="B269" s="16">
        <v>10000</v>
      </c>
      <c r="C269" s="17">
        <v>9380</v>
      </c>
      <c r="D269" s="18">
        <v>5000</v>
      </c>
      <c r="E269" s="18">
        <v>1042.3</v>
      </c>
      <c r="F269" s="18">
        <v>2400</v>
      </c>
      <c r="G269" s="18"/>
      <c r="H269" s="17"/>
      <c r="I269" s="17"/>
      <c r="J269" s="17"/>
      <c r="K269" s="17"/>
    </row>
    <row r="270" spans="1:11" ht="12.75" customHeight="1">
      <c r="A270" s="15" t="s">
        <v>108</v>
      </c>
      <c r="B270" s="16">
        <v>0</v>
      </c>
      <c r="C270" s="17">
        <v>330</v>
      </c>
      <c r="D270" s="18"/>
      <c r="E270" s="18">
        <v>38</v>
      </c>
      <c r="F270" s="18"/>
      <c r="G270" s="18"/>
      <c r="H270" s="17"/>
      <c r="I270" s="17"/>
      <c r="J270" s="17"/>
      <c r="K270" s="17"/>
    </row>
    <row r="271" spans="1:11" ht="12.75" customHeight="1">
      <c r="A271" s="15" t="s">
        <v>109</v>
      </c>
      <c r="B271" s="16"/>
      <c r="C271" s="17"/>
      <c r="D271" s="18"/>
      <c r="E271" s="18">
        <v>670.8</v>
      </c>
      <c r="F271" s="18">
        <v>600</v>
      </c>
      <c r="G271" s="18"/>
      <c r="H271" s="17"/>
      <c r="I271" s="17"/>
      <c r="J271" s="17"/>
      <c r="K271" s="17"/>
    </row>
    <row r="272" spans="1:11" ht="12.75" customHeight="1">
      <c r="A272" s="15" t="s">
        <v>92</v>
      </c>
      <c r="B272" s="16">
        <v>0</v>
      </c>
      <c r="C272" s="17">
        <v>290</v>
      </c>
      <c r="D272" s="18"/>
      <c r="E272" s="18"/>
      <c r="F272" s="18">
        <v>500</v>
      </c>
      <c r="G272" s="18"/>
      <c r="H272" s="17"/>
      <c r="I272" s="17"/>
      <c r="J272" s="17"/>
      <c r="K272" s="17"/>
    </row>
    <row r="273" spans="1:11" ht="12.75" customHeight="1">
      <c r="A273" s="45" t="s">
        <v>110</v>
      </c>
      <c r="B273" s="52">
        <f>SUM(B274:B278)</f>
        <v>98000</v>
      </c>
      <c r="C273" s="47">
        <f>SUM(C274:C278)</f>
        <v>115000</v>
      </c>
      <c r="D273" s="47">
        <f t="shared" ref="D273" si="205">D274+D275+D276+D277+D278</f>
        <v>69031</v>
      </c>
      <c r="E273" s="47">
        <f t="shared" ref="E273:I273" si="206">E274+E275+E276+E277+E278</f>
        <v>68649.8</v>
      </c>
      <c r="F273" s="47">
        <f t="shared" si="206"/>
        <v>35979.800000000003</v>
      </c>
      <c r="G273" s="47">
        <f t="shared" si="206"/>
        <v>0</v>
      </c>
      <c r="H273" s="47">
        <v>167826</v>
      </c>
      <c r="I273" s="47">
        <f t="shared" si="206"/>
        <v>11000</v>
      </c>
      <c r="J273" s="47">
        <f t="shared" ref="J273" si="207">J274+J275+J276+J277+J278</f>
        <v>0</v>
      </c>
      <c r="K273" s="47">
        <f t="shared" ref="K273" si="208">K274+K275+K276+K277+K278</f>
        <v>0</v>
      </c>
    </row>
    <row r="274" spans="1:11" ht="12.75" customHeight="1">
      <c r="A274" s="15" t="s">
        <v>101</v>
      </c>
      <c r="B274" s="16">
        <v>84510</v>
      </c>
      <c r="C274" s="17">
        <v>107270</v>
      </c>
      <c r="D274" s="18">
        <v>53599</v>
      </c>
      <c r="E274" s="18">
        <v>38335.5</v>
      </c>
      <c r="F274" s="18">
        <v>7700</v>
      </c>
      <c r="G274" s="18"/>
      <c r="H274" s="17"/>
      <c r="I274" s="17">
        <v>3000</v>
      </c>
      <c r="J274" s="17"/>
      <c r="K274" s="17"/>
    </row>
    <row r="275" spans="1:11" ht="12.75" customHeight="1">
      <c r="A275" s="15" t="s">
        <v>108</v>
      </c>
      <c r="B275" s="16">
        <v>9350</v>
      </c>
      <c r="C275" s="17">
        <v>6300</v>
      </c>
      <c r="D275" s="18">
        <v>993</v>
      </c>
      <c r="E275" s="18">
        <v>10211.4</v>
      </c>
      <c r="F275" s="18">
        <v>1100</v>
      </c>
      <c r="G275" s="18"/>
      <c r="H275" s="17"/>
      <c r="I275" s="17"/>
      <c r="J275" s="17"/>
      <c r="K275" s="17"/>
    </row>
    <row r="276" spans="1:11" ht="12.75" customHeight="1">
      <c r="A276" s="15" t="s">
        <v>109</v>
      </c>
      <c r="B276" s="16"/>
      <c r="C276" s="17"/>
      <c r="D276" s="18">
        <v>8125</v>
      </c>
      <c r="E276" s="18">
        <v>19104.599999999999</v>
      </c>
      <c r="F276" s="18">
        <v>27079.8</v>
      </c>
      <c r="G276" s="18"/>
      <c r="H276" s="17"/>
      <c r="I276" s="17">
        <v>6300</v>
      </c>
      <c r="J276" s="17"/>
      <c r="K276" s="17"/>
    </row>
    <row r="277" spans="1:11" ht="12.75" customHeight="1">
      <c r="A277" s="15" t="s">
        <v>105</v>
      </c>
      <c r="B277" s="16"/>
      <c r="C277" s="17"/>
      <c r="D277" s="18">
        <v>6314</v>
      </c>
      <c r="E277" s="18">
        <v>998.3</v>
      </c>
      <c r="F277" s="18">
        <v>100</v>
      </c>
      <c r="G277" s="18"/>
      <c r="H277" s="17"/>
      <c r="I277" s="17"/>
      <c r="J277" s="17"/>
      <c r="K277" s="17"/>
    </row>
    <row r="278" spans="1:11" ht="12.75" customHeight="1">
      <c r="A278" s="15" t="s">
        <v>92</v>
      </c>
      <c r="B278" s="16">
        <v>4140</v>
      </c>
      <c r="C278" s="34">
        <v>1430</v>
      </c>
      <c r="D278" s="35"/>
      <c r="E278" s="35"/>
      <c r="F278" s="35"/>
      <c r="G278" s="35"/>
      <c r="H278" s="34"/>
      <c r="I278" s="34">
        <v>1700</v>
      </c>
      <c r="J278" s="34"/>
      <c r="K278" s="34"/>
    </row>
    <row r="279" spans="1:11" ht="12.75" customHeight="1">
      <c r="A279" s="45" t="s">
        <v>164</v>
      </c>
      <c r="B279" s="16"/>
      <c r="C279" s="34"/>
      <c r="D279" s="35"/>
      <c r="E279" s="35"/>
      <c r="F279" s="35">
        <v>1891.1</v>
      </c>
      <c r="G279" s="35"/>
      <c r="H279" s="34"/>
      <c r="I279" s="47">
        <v>4000</v>
      </c>
      <c r="J279" s="34"/>
      <c r="K279" s="34"/>
    </row>
    <row r="280" spans="1:11" ht="12.75" customHeight="1" thickBot="1">
      <c r="A280" s="92" t="s">
        <v>137</v>
      </c>
      <c r="B280" s="93"/>
      <c r="C280" s="53"/>
      <c r="D280" s="94"/>
      <c r="E280" s="94">
        <v>5</v>
      </c>
      <c r="F280" s="94"/>
      <c r="G280" s="94"/>
      <c r="H280" s="53"/>
      <c r="I280" s="53"/>
      <c r="J280" s="34"/>
      <c r="K280" s="34"/>
    </row>
    <row r="281" spans="1:11" ht="12.75" customHeight="1">
      <c r="A281" s="54" t="s">
        <v>111</v>
      </c>
      <c r="B281" s="55" t="e">
        <f>B36+B49+B62+B75+B80+B95+B102+B112+B123+B134+B146+#REF!+B157+B168+B179+B186+B197+B208+B211+B234</f>
        <v>#REF!</v>
      </c>
      <c r="C281" s="56">
        <f t="shared" ref="C281" si="209">C36+C49+C62+C75+C80+C95+C102+C112+C123+C134+C146+C157+C168+C179+C186+C197+C208+C211+C234</f>
        <v>2419021.9</v>
      </c>
      <c r="D281" s="56">
        <f>D36+D49+D62+D75+D80+D95+D102+D112+D123+D134+D146+D157+D168+D179+D186+D195+D197+D208+D211+D234</f>
        <v>2807884.3000000003</v>
      </c>
      <c r="E281" s="56">
        <f t="shared" ref="E281:I281" si="210">E36+E49+E62+E75+E80+E95+E102+E112+E123+E134+E146+E157+E168+E179+E186+E195+E197+E208+E211+E234</f>
        <v>2887514.6999999997</v>
      </c>
      <c r="F281" s="56">
        <f t="shared" si="210"/>
        <v>2681995.9999999995</v>
      </c>
      <c r="G281" s="56">
        <f t="shared" si="210"/>
        <v>0</v>
      </c>
      <c r="H281" s="56">
        <f t="shared" si="210"/>
        <v>3080837.6</v>
      </c>
      <c r="I281" s="56">
        <f t="shared" si="210"/>
        <v>2807477.27</v>
      </c>
      <c r="J281" s="56">
        <f t="shared" ref="J281:K281" si="211">J36+J49+J62+J75+J80+J95+J102+J112+J123+J134+J146+J157+J168+J179+J186+J197+J208+J211+J234</f>
        <v>0</v>
      </c>
      <c r="K281" s="56">
        <f t="shared" si="211"/>
        <v>0</v>
      </c>
    </row>
    <row r="282" spans="1:11" ht="12.75" customHeight="1" thickBot="1">
      <c r="A282" s="57" t="s">
        <v>112</v>
      </c>
      <c r="B282" s="58" t="e">
        <f>B68+B182+B107+B128+B140+B172+B117+B209+B221+B235</f>
        <v>#REF!</v>
      </c>
      <c r="C282" s="59">
        <f>C68+C182+C107+C128+C140+C172+C117+C209+C221+C235+C44</f>
        <v>849156.8</v>
      </c>
      <c r="D282" s="59">
        <f>D68+D182+D107+D128+D140+D172+D117+D209+D221+D235+D44+D89+D58+D98+D153+D163</f>
        <v>392329.7</v>
      </c>
      <c r="E282" s="59">
        <f>E68+E182+E107+E128+E140+E172+E117+E209+E221+E235+E44+E89+E58+E98+E153+E163</f>
        <v>539785.79999999993</v>
      </c>
      <c r="F282" s="59">
        <f>F68+F182+F107+F128+F140+F172+F117+F209+F221+F235+F44+F89+F58+F98+F153+F163</f>
        <v>513657.1</v>
      </c>
      <c r="G282" s="59">
        <f>G68+G182+G107+G128+G140+G172+G117+G209+G221+G235+G44+G89+G58+G98+G153+G163</f>
        <v>0</v>
      </c>
      <c r="H282" s="59">
        <f>H68+H182+H107+H128+H140+H172+H117+H209+H221+H235+H44+H89+H58+H98+H153+H163</f>
        <v>1187232.5</v>
      </c>
      <c r="I282" s="59">
        <f t="shared" ref="I282:K282" si="212">I68+I182+I107+I128+I140+I172+I117+I209+I221+I235+I44+I89+I58+I98+I153+I163</f>
        <v>387523.39999999997</v>
      </c>
      <c r="J282" s="59">
        <f t="shared" si="212"/>
        <v>0</v>
      </c>
      <c r="K282" s="59">
        <f t="shared" si="212"/>
        <v>0</v>
      </c>
    </row>
    <row r="283" spans="1:11" ht="21.95" customHeight="1" thickBot="1">
      <c r="A283" s="19" t="s">
        <v>113</v>
      </c>
      <c r="B283" s="20" t="e">
        <f>B35+B48+B61+B79+B94+B122+B133+B145+#REF!+B156+B178+B185+B232+B111+B101+B167+B74+B196</f>
        <v>#REF!</v>
      </c>
      <c r="C283" s="21">
        <f t="shared" ref="C283" si="213">C35+C48+C61+C79+C94+C122+C133+C145+C156+C178+C185+C232+C111+C101+C167+C74+C196</f>
        <v>3268178.7</v>
      </c>
      <c r="D283" s="21">
        <f>D35+D48+D61+D79+D94+D122+D133+D145+D156+D178+D185+D232+D111+D101+D167+D74+D192+D196</f>
        <v>3200214.0000000005</v>
      </c>
      <c r="E283" s="21">
        <f t="shared" ref="E283:I283" si="214">E35+E48+E61+E79+E94+E122+E133+E145+E156+E178+E185+E232+E111+E101+E167+E74+E192+E196</f>
        <v>3427300.5</v>
      </c>
      <c r="F283" s="21">
        <f t="shared" si="214"/>
        <v>3195653.1</v>
      </c>
      <c r="G283" s="21">
        <f t="shared" si="214"/>
        <v>0</v>
      </c>
      <c r="H283" s="21">
        <f t="shared" si="214"/>
        <v>4268070.1000000006</v>
      </c>
      <c r="I283" s="21">
        <f t="shared" si="214"/>
        <v>3195000.67</v>
      </c>
      <c r="J283" s="21">
        <f t="shared" ref="J283:K283" si="215">J35+J48+J61+J79+J94+J122+J133+J145+J156+J178+J185+J232+J111+J101+J167+J74+J196</f>
        <v>0</v>
      </c>
      <c r="K283" s="21">
        <f t="shared" si="215"/>
        <v>0</v>
      </c>
    </row>
    <row r="284" spans="1:11" ht="20.100000000000001" customHeight="1" thickTop="1">
      <c r="A284" s="60" t="s">
        <v>114</v>
      </c>
      <c r="B284" s="61" t="e">
        <f>B283-B33</f>
        <v>#REF!</v>
      </c>
      <c r="C284" s="62">
        <f>C283-C33</f>
        <v>185406.70000000019</v>
      </c>
      <c r="D284" s="62">
        <f t="shared" ref="D284" si="216">SUM(D286:D289)</f>
        <v>225035</v>
      </c>
      <c r="E284" s="62">
        <f t="shared" ref="E284:H284" si="217">SUM(E286:E289)</f>
        <v>-32303.099999999991</v>
      </c>
      <c r="F284" s="62">
        <f t="shared" si="217"/>
        <v>-13812.899999999994</v>
      </c>
      <c r="G284" s="62">
        <f t="shared" si="217"/>
        <v>0</v>
      </c>
      <c r="H284" s="62">
        <f t="shared" si="217"/>
        <v>-100000</v>
      </c>
      <c r="I284" s="62">
        <f t="shared" ref="I284" si="218">SUM(I286:I289)</f>
        <v>-100000</v>
      </c>
      <c r="J284" s="62">
        <f t="shared" ref="J284:K284" si="219">SUM(J286:J289)</f>
        <v>0</v>
      </c>
      <c r="K284" s="62">
        <f t="shared" si="219"/>
        <v>0</v>
      </c>
    </row>
    <row r="285" spans="1:11" ht="9.9499999999999993" customHeight="1">
      <c r="A285" s="63" t="s">
        <v>17</v>
      </c>
      <c r="B285" s="64"/>
      <c r="C285" s="65"/>
      <c r="D285" s="65"/>
      <c r="E285" s="65"/>
      <c r="F285" s="65"/>
      <c r="G285" s="65"/>
      <c r="H285" s="65"/>
      <c r="I285" s="65"/>
      <c r="J285" s="65"/>
      <c r="K285" s="65"/>
    </row>
    <row r="286" spans="1:11" ht="12.75" customHeight="1">
      <c r="A286" s="63" t="s">
        <v>115</v>
      </c>
      <c r="B286" s="64"/>
      <c r="C286" s="65"/>
      <c r="D286" s="81">
        <v>-100000</v>
      </c>
      <c r="E286" s="81">
        <v>-100000</v>
      </c>
      <c r="F286" s="81">
        <v>-100000</v>
      </c>
      <c r="G286" s="81"/>
      <c r="H286" s="81">
        <v>-100000</v>
      </c>
      <c r="I286" s="81">
        <v>-100000</v>
      </c>
      <c r="J286" s="65"/>
      <c r="K286" s="65"/>
    </row>
    <row r="287" spans="1:11" ht="12.95" customHeight="1">
      <c r="A287" s="63" t="s">
        <v>116</v>
      </c>
      <c r="B287" s="33">
        <v>556305.6</v>
      </c>
      <c r="C287" s="34">
        <v>188606.7</v>
      </c>
      <c r="D287" s="34">
        <v>325035</v>
      </c>
      <c r="E287" s="34">
        <v>139861.70000000001</v>
      </c>
      <c r="F287" s="34">
        <v>86187.1</v>
      </c>
      <c r="G287" s="34"/>
      <c r="H287" s="34"/>
      <c r="I287" s="34"/>
      <c r="J287" s="34"/>
      <c r="K287" s="34"/>
    </row>
    <row r="288" spans="1:11" ht="12.95" customHeight="1">
      <c r="A288" s="63" t="s">
        <v>150</v>
      </c>
      <c r="B288" s="33"/>
      <c r="C288" s="34"/>
      <c r="D288" s="34"/>
      <c r="E288" s="34">
        <v>-72164.800000000003</v>
      </c>
      <c r="F288" s="34"/>
      <c r="G288" s="34"/>
      <c r="H288" s="34"/>
      <c r="I288" s="34"/>
      <c r="J288" s="34"/>
      <c r="K288" s="34"/>
    </row>
    <row r="289" spans="1:11" ht="12.95" customHeight="1" thickBot="1">
      <c r="A289" s="66"/>
      <c r="B289" s="67"/>
      <c r="C289" s="53"/>
      <c r="D289" s="53"/>
      <c r="E289" s="53"/>
      <c r="F289" s="53"/>
      <c r="G289" s="53"/>
      <c r="H289" s="53"/>
      <c r="I289" s="53"/>
      <c r="J289" s="53"/>
      <c r="K289" s="53"/>
    </row>
    <row r="290" spans="1:11" ht="12.95" customHeight="1">
      <c r="A290" s="68"/>
      <c r="B290" s="69"/>
      <c r="C290" s="70"/>
      <c r="D290" s="70"/>
      <c r="E290" s="70"/>
      <c r="F290" s="70"/>
      <c r="G290" s="70"/>
      <c r="H290" s="70"/>
      <c r="I290" s="70"/>
      <c r="J290" s="70"/>
      <c r="K290" s="70"/>
    </row>
    <row r="291" spans="1:11" ht="12.75" hidden="1" customHeight="1">
      <c r="A291" s="71" t="s">
        <v>166</v>
      </c>
      <c r="B291" s="72"/>
      <c r="C291" s="73"/>
      <c r="D291" s="73">
        <f>D33-D283+D284</f>
        <v>-4.6566128730773926E-10</v>
      </c>
      <c r="E291" s="73"/>
      <c r="F291" s="73">
        <f>F33-F283+F284</f>
        <v>-8.7311491370201111E-11</v>
      </c>
      <c r="G291" s="73">
        <f>G33-G283</f>
        <v>2930303.1</v>
      </c>
      <c r="H291" s="73">
        <f>H33-H283+H284</f>
        <v>-1110822.4000000004</v>
      </c>
      <c r="I291" s="73">
        <f>I33-I283+I284</f>
        <v>3.0000000260770321E-2</v>
      </c>
      <c r="J291" s="73">
        <f>J33-J283+J284</f>
        <v>0</v>
      </c>
      <c r="K291" s="73">
        <f>K33-K283+K284</f>
        <v>0</v>
      </c>
    </row>
    <row r="292" spans="1:11" ht="12.75" customHeight="1">
      <c r="A292" s="74"/>
      <c r="B292" s="72"/>
      <c r="C292" s="75"/>
      <c r="D292" s="75"/>
      <c r="E292" s="75"/>
      <c r="F292" s="75"/>
      <c r="G292" s="75"/>
      <c r="H292" s="96"/>
      <c r="I292" s="73"/>
    </row>
    <row r="293" spans="1:11" ht="12.75" customHeight="1">
      <c r="A293" s="74"/>
      <c r="B293" s="72"/>
      <c r="C293" s="75"/>
      <c r="D293" s="75"/>
      <c r="E293" s="75"/>
      <c r="F293" s="88"/>
      <c r="G293" s="88"/>
      <c r="H293" s="97"/>
      <c r="I293" s="73"/>
    </row>
    <row r="294" spans="1:11" ht="12.75" customHeight="1">
      <c r="B294" s="72"/>
      <c r="C294" s="75"/>
      <c r="D294" s="75"/>
      <c r="E294" s="75"/>
      <c r="F294" s="88"/>
      <c r="G294" s="88"/>
      <c r="H294" s="91"/>
      <c r="I294" s="91"/>
    </row>
    <row r="295" spans="1:11" ht="12.75" customHeight="1">
      <c r="B295" s="72"/>
      <c r="C295" s="75"/>
      <c r="D295" s="75"/>
      <c r="E295" s="75"/>
      <c r="F295" s="88"/>
      <c r="G295" s="88"/>
      <c r="H295" s="91"/>
      <c r="I295" s="91"/>
    </row>
    <row r="296" spans="1:11" ht="12.75" customHeight="1">
      <c r="B296" s="72"/>
      <c r="C296" s="75"/>
      <c r="D296" s="75"/>
      <c r="E296" s="75"/>
      <c r="F296" s="75"/>
      <c r="G296" s="75"/>
    </row>
    <row r="297" spans="1:11" ht="12.75" customHeight="1">
      <c r="B297" s="72"/>
      <c r="C297" s="75"/>
      <c r="D297" s="76"/>
      <c r="E297" s="76"/>
      <c r="F297" s="77"/>
      <c r="G297" s="77"/>
    </row>
    <row r="298" spans="1:11" ht="12.75" customHeight="1">
      <c r="B298" s="72"/>
      <c r="C298" s="75"/>
      <c r="D298" s="75"/>
      <c r="E298" s="75"/>
      <c r="F298" s="77"/>
      <c r="G298" s="77"/>
      <c r="H298" s="87"/>
    </row>
    <row r="299" spans="1:11" ht="12.75" customHeight="1">
      <c r="B299" s="72"/>
      <c r="C299" s="75"/>
      <c r="D299" s="75"/>
      <c r="E299" s="75"/>
      <c r="F299" s="75"/>
      <c r="G299" s="75"/>
    </row>
    <row r="300" spans="1:11" ht="12.75" customHeight="1">
      <c r="A300" s="78"/>
      <c r="B300" s="72"/>
      <c r="C300" s="75"/>
      <c r="D300" s="75"/>
      <c r="E300" s="75"/>
      <c r="F300" s="75"/>
      <c r="G300" s="75"/>
    </row>
    <row r="301" spans="1:11" ht="12.75" customHeight="1">
      <c r="B301" s="72"/>
      <c r="C301" s="75"/>
      <c r="D301" s="75"/>
      <c r="E301" s="75"/>
      <c r="F301" s="75"/>
      <c r="G301" s="75"/>
    </row>
    <row r="302" spans="1:11" ht="12.75" customHeight="1">
      <c r="A302" s="78"/>
      <c r="B302" s="72"/>
      <c r="C302" s="75"/>
      <c r="D302" s="75"/>
      <c r="E302" s="75"/>
      <c r="F302" s="75"/>
      <c r="G302" s="75"/>
    </row>
    <row r="303" spans="1:11" ht="12.75" customHeight="1">
      <c r="B303" s="72"/>
      <c r="C303" s="75"/>
      <c r="D303" s="75"/>
      <c r="E303" s="75"/>
      <c r="F303" s="75"/>
      <c r="G303" s="75"/>
    </row>
    <row r="304" spans="1:11" ht="12.75" customHeight="1">
      <c r="A304" s="79"/>
      <c r="B304" s="72"/>
      <c r="C304" s="75"/>
      <c r="D304" s="75"/>
      <c r="E304" s="75"/>
      <c r="F304" s="75"/>
      <c r="G304" s="75"/>
    </row>
    <row r="305" spans="1:7" ht="12.75" customHeight="1">
      <c r="A305" s="79"/>
      <c r="B305" s="72"/>
      <c r="C305" s="75"/>
      <c r="D305" s="75"/>
      <c r="E305" s="75"/>
      <c r="F305" s="75"/>
      <c r="G305" s="75"/>
    </row>
    <row r="306" spans="1:7" ht="12.75" customHeight="1">
      <c r="A306" s="79"/>
      <c r="B306" s="72"/>
      <c r="C306" s="75"/>
      <c r="D306" s="75"/>
      <c r="E306" s="75"/>
      <c r="F306" s="75"/>
      <c r="G306" s="75"/>
    </row>
    <row r="307" spans="1:7" ht="12.75" customHeight="1">
      <c r="A307" s="79"/>
      <c r="B307" s="72"/>
      <c r="C307" s="75"/>
      <c r="D307" s="75"/>
      <c r="E307" s="75"/>
      <c r="F307" s="75"/>
      <c r="G307" s="75"/>
    </row>
    <row r="308" spans="1:7" ht="15" customHeight="1">
      <c r="A308" s="79"/>
      <c r="B308" s="72"/>
      <c r="C308" s="75"/>
      <c r="D308" s="75"/>
      <c r="E308" s="75"/>
      <c r="F308" s="75"/>
      <c r="G308" s="75"/>
    </row>
    <row r="309" spans="1:7">
      <c r="B309" s="72"/>
      <c r="C309" s="75"/>
      <c r="D309" s="75"/>
      <c r="E309" s="75"/>
      <c r="F309" s="75"/>
      <c r="G309" s="75"/>
    </row>
    <row r="310" spans="1:7" ht="15" customHeight="1">
      <c r="B310" s="72"/>
      <c r="C310" s="75"/>
      <c r="D310" s="75"/>
      <c r="E310" s="75"/>
      <c r="F310" s="75"/>
      <c r="G310" s="75"/>
    </row>
    <row r="311" spans="1:7" ht="15" customHeight="1">
      <c r="B311" s="72"/>
      <c r="C311" s="75"/>
      <c r="D311" s="75"/>
      <c r="E311" s="75"/>
      <c r="F311" s="75"/>
      <c r="G311" s="75"/>
    </row>
    <row r="312" spans="1:7" ht="15" customHeight="1">
      <c r="B312" s="72"/>
      <c r="C312" s="75"/>
      <c r="D312" s="75"/>
      <c r="E312" s="75"/>
      <c r="F312" s="75"/>
      <c r="G312" s="75"/>
    </row>
    <row r="313" spans="1:7" ht="15" customHeight="1">
      <c r="B313" s="72"/>
      <c r="C313" s="75"/>
      <c r="D313" s="75"/>
      <c r="E313" s="75"/>
      <c r="F313" s="75"/>
      <c r="G313" s="75"/>
    </row>
    <row r="314" spans="1:7" ht="15" customHeight="1">
      <c r="B314" s="72"/>
      <c r="C314" s="75"/>
      <c r="D314" s="75"/>
      <c r="E314" s="75"/>
      <c r="F314" s="75"/>
      <c r="G314" s="75"/>
    </row>
    <row r="315" spans="1:7" ht="15" customHeight="1">
      <c r="B315" s="72"/>
      <c r="C315" s="75"/>
      <c r="D315" s="75"/>
      <c r="E315" s="75"/>
      <c r="F315" s="75"/>
      <c r="G315" s="75"/>
    </row>
    <row r="316" spans="1:7" ht="15" customHeight="1">
      <c r="B316" s="72"/>
      <c r="C316" s="75"/>
      <c r="D316" s="75"/>
      <c r="E316" s="75"/>
      <c r="F316" s="75"/>
      <c r="G316" s="75"/>
    </row>
    <row r="317" spans="1:7" ht="15" customHeight="1">
      <c r="B317" s="72"/>
      <c r="C317" s="75"/>
      <c r="D317" s="75"/>
      <c r="E317" s="75"/>
      <c r="F317" s="75"/>
      <c r="G317" s="75"/>
    </row>
    <row r="318" spans="1:7" ht="15" customHeight="1">
      <c r="B318" s="72"/>
      <c r="C318" s="75"/>
      <c r="D318" s="75"/>
      <c r="E318" s="75"/>
      <c r="F318" s="75"/>
      <c r="G318" s="75"/>
    </row>
    <row r="319" spans="1:7" ht="15" customHeight="1">
      <c r="B319" s="72"/>
      <c r="C319" s="75"/>
      <c r="D319" s="75"/>
      <c r="E319" s="75"/>
      <c r="F319" s="75"/>
      <c r="G319" s="75"/>
    </row>
    <row r="320" spans="1:7" ht="15" customHeight="1">
      <c r="B320" s="72"/>
      <c r="C320" s="75"/>
      <c r="D320" s="75"/>
      <c r="E320" s="75"/>
      <c r="F320" s="75"/>
      <c r="G320" s="75"/>
    </row>
    <row r="321" spans="2:7" ht="15" customHeight="1">
      <c r="B321" s="72"/>
      <c r="C321" s="75"/>
      <c r="D321" s="75"/>
      <c r="E321" s="75"/>
      <c r="F321" s="75"/>
      <c r="G321" s="75"/>
    </row>
    <row r="322" spans="2:7" ht="15" customHeight="1"/>
    <row r="323" spans="2:7" ht="15" customHeight="1"/>
    <row r="324" spans="2:7" ht="15" customHeight="1"/>
    <row r="325" spans="2:7" ht="15" customHeight="1"/>
    <row r="326" spans="2:7" ht="15" customHeight="1"/>
    <row r="327" spans="2:7" ht="15" customHeight="1"/>
    <row r="328" spans="2:7" ht="15" customHeight="1"/>
    <row r="329" spans="2:7" ht="15" customHeight="1"/>
    <row r="330" spans="2:7" ht="15" customHeight="1"/>
    <row r="331" spans="2:7" ht="15" customHeight="1"/>
    <row r="332" spans="2:7" ht="15" customHeight="1"/>
    <row r="333" spans="2:7" ht="15" customHeight="1"/>
    <row r="334" spans="2:7" ht="15" customHeight="1"/>
    <row r="335" spans="2:7" ht="15" customHeight="1"/>
    <row r="336" spans="2:7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</sheetData>
  <mergeCells count="2">
    <mergeCell ref="A3:K4"/>
    <mergeCell ref="A5:K5"/>
  </mergeCells>
  <printOptions horizontalCentered="1"/>
  <pageMargins left="0.19685039370078741" right="0" top="0.59055118110236227" bottom="0.39370078740157483" header="0.11811023622047245" footer="0.11811023622047245"/>
  <pageSetup paperSize="9" scale="95" orientation="portrait" r:id="rId1"/>
  <headerFooter alignWithMargins="0">
    <oddFooter>&amp;CStránka &amp;P</oddFooter>
  </headerFooter>
  <rowBreaks count="5" manualBreakCount="5">
    <brk id="60" max="16383" man="1"/>
    <brk id="121" max="16383" man="1"/>
    <brk id="177" max="16383" man="1"/>
    <brk id="231" max="16383" man="1"/>
    <brk id="289" max="16383" man="1"/>
  </rowBreaks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2012</vt:lpstr>
      <vt:lpstr>'2012'!Názvy_tisku</vt:lpstr>
      <vt:lpstr>'2012'!Oblast_tisku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2011-10-27T07:57:59Z</cp:lastPrinted>
  <dcterms:created xsi:type="dcterms:W3CDTF">2010-05-26T11:33:11Z</dcterms:created>
  <dcterms:modified xsi:type="dcterms:W3CDTF">2011-12-05T07:32:57Z</dcterms:modified>
</cp:coreProperties>
</file>