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400" windowHeight="12015"/>
  </bookViews>
  <sheets>
    <sheet name="2014" sheetId="10" r:id="rId1"/>
  </sheets>
  <definedNames>
    <definedName name="_xlnm.Print_Titles" localSheetId="0">'2014'!$4:$4</definedName>
    <definedName name="_xlnm.Print_Area" localSheetId="0">'2014'!$A$1:$F$310</definedName>
  </definedNames>
  <calcPr calcId="125725"/>
</workbook>
</file>

<file path=xl/calcChain.xml><?xml version="1.0" encoding="utf-8"?>
<calcChain xmlns="http://schemas.openxmlformats.org/spreadsheetml/2006/main">
  <c r="E205" i="10"/>
  <c r="E204"/>
  <c r="E67"/>
  <c r="E118"/>
  <c r="E117"/>
  <c r="E75"/>
  <c r="E195"/>
  <c r="E46"/>
  <c r="E44"/>
  <c r="E43"/>
  <c r="E101"/>
  <c r="E96"/>
  <c r="E165"/>
  <c r="E32"/>
  <c r="E178"/>
  <c r="E57"/>
  <c r="D299"/>
  <c r="C246"/>
  <c r="C247" s="1"/>
  <c r="D63"/>
  <c r="C63"/>
  <c r="E47" l="1"/>
  <c r="E22"/>
  <c r="E12"/>
  <c r="E27"/>
  <c r="E80"/>
  <c r="E175"/>
  <c r="E173" s="1"/>
  <c r="E172" s="1"/>
  <c r="E246"/>
  <c r="E281"/>
  <c r="E273"/>
  <c r="C273"/>
  <c r="E211"/>
  <c r="D211"/>
  <c r="C211"/>
  <c r="B211"/>
  <c r="B54"/>
  <c r="B119"/>
  <c r="E6"/>
  <c r="E15"/>
  <c r="E13" s="1"/>
  <c r="E20"/>
  <c r="E36"/>
  <c r="E50"/>
  <c r="E54"/>
  <c r="E58"/>
  <c r="E64"/>
  <c r="E63" s="1"/>
  <c r="E77"/>
  <c r="E72" s="1"/>
  <c r="E71" s="1"/>
  <c r="E85"/>
  <c r="E94"/>
  <c r="E99"/>
  <c r="E104"/>
  <c r="E103" s="1"/>
  <c r="E115"/>
  <c r="E114" s="1"/>
  <c r="E126"/>
  <c r="E124" s="1"/>
  <c r="E123" s="1"/>
  <c r="E134"/>
  <c r="E133" s="1"/>
  <c r="E136"/>
  <c r="E145"/>
  <c r="E153"/>
  <c r="E163"/>
  <c r="E162" s="1"/>
  <c r="E184"/>
  <c r="E183" s="1"/>
  <c r="E196"/>
  <c r="E209"/>
  <c r="E214"/>
  <c r="E213" s="1"/>
  <c r="E221"/>
  <c r="E234"/>
  <c r="E233" s="1"/>
  <c r="E267"/>
  <c r="E301"/>
  <c r="E144" l="1"/>
  <c r="E299"/>
  <c r="E41"/>
  <c r="E40" s="1"/>
  <c r="E7"/>
  <c r="E200"/>
  <c r="E199" s="1"/>
  <c r="E244"/>
  <c r="E191"/>
  <c r="E190" s="1"/>
  <c r="E217"/>
  <c r="E53"/>
  <c r="E93"/>
  <c r="E26"/>
  <c r="E247"/>
  <c r="E24"/>
  <c r="E298" l="1"/>
  <c r="E300"/>
  <c r="E307" s="1"/>
  <c r="C54"/>
  <c r="C119"/>
  <c r="C196"/>
  <c r="B196"/>
  <c r="C301"/>
  <c r="B301"/>
  <c r="C292"/>
  <c r="C286"/>
  <c r="B286"/>
  <c r="C281"/>
  <c r="B281"/>
  <c r="B273"/>
  <c r="C267"/>
  <c r="B267"/>
  <c r="C261"/>
  <c r="B261"/>
  <c r="B257"/>
  <c r="B252"/>
  <c r="B249"/>
  <c r="B247"/>
  <c r="B246"/>
  <c r="C233"/>
  <c r="C299" s="1"/>
  <c r="B233"/>
  <c r="C222"/>
  <c r="C221" s="1"/>
  <c r="B221"/>
  <c r="C218"/>
  <c r="B218"/>
  <c r="C214"/>
  <c r="C213" s="1"/>
  <c r="B214"/>
  <c r="B213" s="1"/>
  <c r="C200"/>
  <c r="C298" s="1"/>
  <c r="B200"/>
  <c r="C195"/>
  <c r="B195"/>
  <c r="C193"/>
  <c r="B193"/>
  <c r="C187"/>
  <c r="B187"/>
  <c r="C184"/>
  <c r="B184"/>
  <c r="B178"/>
  <c r="C175"/>
  <c r="B173"/>
  <c r="C168"/>
  <c r="B168"/>
  <c r="C167"/>
  <c r="B165"/>
  <c r="B163" s="1"/>
  <c r="C153"/>
  <c r="B153"/>
  <c r="C145"/>
  <c r="B145"/>
  <c r="C140"/>
  <c r="B140"/>
  <c r="B139"/>
  <c r="B134" s="1"/>
  <c r="C134"/>
  <c r="B130"/>
  <c r="B126"/>
  <c r="B124" s="1"/>
  <c r="C124"/>
  <c r="C123" s="1"/>
  <c r="B118"/>
  <c r="B115" s="1"/>
  <c r="C115"/>
  <c r="C109"/>
  <c r="B109"/>
  <c r="C104"/>
  <c r="B104"/>
  <c r="C99"/>
  <c r="B99"/>
  <c r="B96"/>
  <c r="B94" s="1"/>
  <c r="C94"/>
  <c r="C90"/>
  <c r="B90"/>
  <c r="C86"/>
  <c r="B86"/>
  <c r="B81"/>
  <c r="C72"/>
  <c r="C71" s="1"/>
  <c r="B72"/>
  <c r="B67"/>
  <c r="B64" s="1"/>
  <c r="B63" s="1"/>
  <c r="C64"/>
  <c r="C58"/>
  <c r="B58"/>
  <c r="C50"/>
  <c r="B50"/>
  <c r="B46"/>
  <c r="B43"/>
  <c r="C41"/>
  <c r="C36"/>
  <c r="B36"/>
  <c r="B35"/>
  <c r="B32"/>
  <c r="C27"/>
  <c r="C26" s="1"/>
  <c r="B22"/>
  <c r="B20" s="1"/>
  <c r="C20"/>
  <c r="C13"/>
  <c r="B13"/>
  <c r="B7" s="1"/>
  <c r="C12"/>
  <c r="B217" l="1"/>
  <c r="C199"/>
  <c r="C217"/>
  <c r="B53"/>
  <c r="B199"/>
  <c r="B27"/>
  <c r="B26" s="1"/>
  <c r="B85"/>
  <c r="C114"/>
  <c r="C133"/>
  <c r="B24"/>
  <c r="C93"/>
  <c r="C191"/>
  <c r="C190" s="1"/>
  <c r="B191"/>
  <c r="B190" s="1"/>
  <c r="C103"/>
  <c r="C144"/>
  <c r="C163"/>
  <c r="C162" s="1"/>
  <c r="B41"/>
  <c r="B40" s="1"/>
  <c r="B103"/>
  <c r="B183"/>
  <c r="B172"/>
  <c r="B123"/>
  <c r="B93"/>
  <c r="B133"/>
  <c r="C53"/>
  <c r="B144"/>
  <c r="B71"/>
  <c r="B114"/>
  <c r="B162"/>
  <c r="C7"/>
  <c r="C24" s="1"/>
  <c r="C244"/>
  <c r="B244"/>
  <c r="B299"/>
  <c r="C173"/>
  <c r="C172" s="1"/>
  <c r="C40"/>
  <c r="C85"/>
  <c r="C183"/>
  <c r="B298" l="1"/>
  <c r="C300"/>
  <c r="C307" s="1"/>
  <c r="B300"/>
  <c r="B307" s="1"/>
  <c r="C309" l="1"/>
  <c r="C310"/>
  <c r="B310"/>
  <c r="B309"/>
</calcChain>
</file>

<file path=xl/sharedStrings.xml><?xml version="1.0" encoding="utf-8"?>
<sst xmlns="http://schemas.openxmlformats.org/spreadsheetml/2006/main" count="321" uniqueCount="188">
  <si>
    <t>UKAZATEL</t>
  </si>
  <si>
    <t xml:space="preserve">PŘÍJMY    </t>
  </si>
  <si>
    <t>tř. 1 - Daňové příjmy</t>
  </si>
  <si>
    <t>tř. 2 - Nedaňové příjmy</t>
  </si>
  <si>
    <t xml:space="preserve">v tom: </t>
  </si>
  <si>
    <t>přijaté úroky</t>
  </si>
  <si>
    <t xml:space="preserve">platby za odebr. mn.podzemní vody </t>
  </si>
  <si>
    <t>odvody PO</t>
  </si>
  <si>
    <t xml:space="preserve">    v tom odvětví: školství</t>
  </si>
  <si>
    <t xml:space="preserve">                        zdravotnictví</t>
  </si>
  <si>
    <t xml:space="preserve">                        kultury</t>
  </si>
  <si>
    <t xml:space="preserve">                        soc.věcí</t>
  </si>
  <si>
    <t>tř. 4 - Neinvestiční přijaté dotace</t>
  </si>
  <si>
    <t>v tom:</t>
  </si>
  <si>
    <t xml:space="preserve">  neinv.d.ze SR v rámci souhrn.dot.vztahu</t>
  </si>
  <si>
    <t xml:space="preserve">  od obcí</t>
  </si>
  <si>
    <t>PŘÍJMY CELKEM</t>
  </si>
  <si>
    <t>VÝDAJE</t>
  </si>
  <si>
    <t>kap. 18 - zastupitelstvo kraje</t>
  </si>
  <si>
    <t>běžné výdaje</t>
  </si>
  <si>
    <t>odměny vč. refundací</t>
  </si>
  <si>
    <t>pohoštění a dary</t>
  </si>
  <si>
    <t>ostatní běžné výdaje</t>
  </si>
  <si>
    <t>ostatní příspěvky a dary</t>
  </si>
  <si>
    <t>kapitálové výdaje</t>
  </si>
  <si>
    <t>kap. 19 - činnost krajského úřadu</t>
  </si>
  <si>
    <t>pohoštění</t>
  </si>
  <si>
    <t>pronájem služeb a prostor v RC NP</t>
  </si>
  <si>
    <t>krizové plánování</t>
  </si>
  <si>
    <t>pronájem a nákl.na detaš.pracoviště</t>
  </si>
  <si>
    <t>kap. 02 - životní prostředí a zemědělství</t>
  </si>
  <si>
    <t xml:space="preserve">vodohosp.akce dle vodního zákona </t>
  </si>
  <si>
    <t>ostatní kapitálové výdaje</t>
  </si>
  <si>
    <t>kap. 09 - volnočasové aktivity</t>
  </si>
  <si>
    <t>kap. 10 - doprava</t>
  </si>
  <si>
    <t>dopravní územní obslužnost:</t>
  </si>
  <si>
    <t xml:space="preserve">    autobusová doprava</t>
  </si>
  <si>
    <t xml:space="preserve">    drážní doprava</t>
  </si>
  <si>
    <t>příspěvky PO na provoz</t>
  </si>
  <si>
    <t>kap. 12 - správa majetku kraje</t>
  </si>
  <si>
    <t>dotace pro Reg. radu regionu soudržnosti SV</t>
  </si>
  <si>
    <t>příspěvek PO na provoz - Centrum EP</t>
  </si>
  <si>
    <t>kap. 14 - školství</t>
  </si>
  <si>
    <t xml:space="preserve">běžné výdaje                     </t>
  </si>
  <si>
    <t xml:space="preserve">ostatní běžné výdaje </t>
  </si>
  <si>
    <t>kap. 15 - zdravotnictví</t>
  </si>
  <si>
    <t>kap. 16 - kultura</t>
  </si>
  <si>
    <t xml:space="preserve">běžné výdaje             </t>
  </si>
  <si>
    <t>kap. 28 - sociální věci</t>
  </si>
  <si>
    <t xml:space="preserve">běžné výdaje                                    </t>
  </si>
  <si>
    <t>příspěvek PO na provoz</t>
  </si>
  <si>
    <t xml:space="preserve">kap. 40 - územní plánování </t>
  </si>
  <si>
    <t>kap. 41 - rez.a ost.výd.netýk.se odv.</t>
  </si>
  <si>
    <t xml:space="preserve">               - cestovní ruch</t>
  </si>
  <si>
    <t xml:space="preserve">               - školství</t>
  </si>
  <si>
    <t xml:space="preserve">               - kultura</t>
  </si>
  <si>
    <t xml:space="preserve">               - regionální rozvoj</t>
  </si>
  <si>
    <t xml:space="preserve">              v tom: běžné výdaje</t>
  </si>
  <si>
    <t xml:space="preserve">                        kapitálové výdaje</t>
  </si>
  <si>
    <t xml:space="preserve">                           - evrop.integrace</t>
  </si>
  <si>
    <t xml:space="preserve">                           - doprava</t>
  </si>
  <si>
    <t xml:space="preserve">                           - školství</t>
  </si>
  <si>
    <t>v tom pro odvětví:</t>
  </si>
  <si>
    <t xml:space="preserve">zastupitelstvo kraje </t>
  </si>
  <si>
    <t xml:space="preserve"> v tom: kapitálové výdaje odvětví</t>
  </si>
  <si>
    <t xml:space="preserve">           nerozděleno</t>
  </si>
  <si>
    <t xml:space="preserve">činnost krajského úřadu </t>
  </si>
  <si>
    <t>doprava</t>
  </si>
  <si>
    <t xml:space="preserve">  v tom: PO - investiční transfery</t>
  </si>
  <si>
    <t xml:space="preserve">            kapitálové výdaje odvětví</t>
  </si>
  <si>
    <t xml:space="preserve">cestovní ruch </t>
  </si>
  <si>
    <t xml:space="preserve">správa majetku kraje </t>
  </si>
  <si>
    <t xml:space="preserve"> v tom: běžné výdaje odvětví</t>
  </si>
  <si>
    <t>školství</t>
  </si>
  <si>
    <t xml:space="preserve"> v tom: PO - investiční transfery</t>
  </si>
  <si>
    <t xml:space="preserve">           kapitálové výdaje odvětví</t>
  </si>
  <si>
    <t>zdravotnictví</t>
  </si>
  <si>
    <t xml:space="preserve">           investiční transfery a.s.</t>
  </si>
  <si>
    <t xml:space="preserve">           běžné výdaje odvětví</t>
  </si>
  <si>
    <t>kultura</t>
  </si>
  <si>
    <t xml:space="preserve"> v tom: PO - investiční transfey</t>
  </si>
  <si>
    <t xml:space="preserve">                - neinvestiční transfery</t>
  </si>
  <si>
    <t xml:space="preserve">          kapitálové výdaje odvětví</t>
  </si>
  <si>
    <t>sociální věci</t>
  </si>
  <si>
    <t>tř. 5 - Běžné výdaje</t>
  </si>
  <si>
    <t>tř. 6 - Kapitálové výdaje</t>
  </si>
  <si>
    <t>VÝDAJE CELKEM</t>
  </si>
  <si>
    <t>tř. 8 - Financování</t>
  </si>
  <si>
    <t>splátky úvěru</t>
  </si>
  <si>
    <t xml:space="preserve">běžné výdaje </t>
  </si>
  <si>
    <t>neinvestiční transfery obcím</t>
  </si>
  <si>
    <t xml:space="preserve">běžné výdaje    </t>
  </si>
  <si>
    <t>investiční transfery obcím</t>
  </si>
  <si>
    <t xml:space="preserve">běžné výdaje  </t>
  </si>
  <si>
    <r>
      <t xml:space="preserve">soustředěné pojištění majetku kraje </t>
    </r>
    <r>
      <rPr>
        <sz val="10"/>
        <color indexed="10"/>
        <rFont val="Arial CE"/>
        <charset val="238"/>
      </rPr>
      <t xml:space="preserve"> </t>
    </r>
  </si>
  <si>
    <t>investiční transfery PO</t>
  </si>
  <si>
    <t xml:space="preserve">běžné výdaje                                      </t>
  </si>
  <si>
    <t xml:space="preserve">                           - cestovní ruch</t>
  </si>
  <si>
    <t xml:space="preserve">                           - kultura</t>
  </si>
  <si>
    <t xml:space="preserve">                           - regionální rozvoj</t>
  </si>
  <si>
    <t xml:space="preserve">           neinvestiční transfery a.s.</t>
  </si>
  <si>
    <t>poplatky</t>
  </si>
  <si>
    <t xml:space="preserve">           PO - investiční transfery</t>
  </si>
  <si>
    <t xml:space="preserve">                        dopravy</t>
  </si>
  <si>
    <t>investiční půjčené prostředky obcím</t>
  </si>
  <si>
    <t xml:space="preserve">                           - životní prostředí</t>
  </si>
  <si>
    <t xml:space="preserve">                           - správa majetku kraje</t>
  </si>
  <si>
    <t xml:space="preserve">                           - zdravotnictví</t>
  </si>
  <si>
    <t xml:space="preserve">                           - sociální věci</t>
  </si>
  <si>
    <t>příjmy z pronájmu majetku - odv.doprava</t>
  </si>
  <si>
    <t xml:space="preserve">řešení havarijních situací </t>
  </si>
  <si>
    <t xml:space="preserve">investiční půjčené prostředky </t>
  </si>
  <si>
    <t>kap. 49 - Regionální inovační fond</t>
  </si>
  <si>
    <t>investiční dotace Policii ČR</t>
  </si>
  <si>
    <t>nerozděleno na odvětví</t>
  </si>
  <si>
    <t xml:space="preserve">Rozdíl příjmů a výdajů </t>
  </si>
  <si>
    <t>dotace na sociální služby</t>
  </si>
  <si>
    <t>neinvestiční transfer s.r.o. OREDO</t>
  </si>
  <si>
    <t>neinvestiční transfery a.s.</t>
  </si>
  <si>
    <t>životní prostředí a zemědělství</t>
  </si>
  <si>
    <t>v tom: investiční transfery a.s.</t>
  </si>
  <si>
    <t>zóna Solnice Kvasiny</t>
  </si>
  <si>
    <t xml:space="preserve">Schválený rozpočet na 
rok 2012 </t>
  </si>
  <si>
    <t>kap. 48 - Dotační fond KHK od r. 2013</t>
  </si>
  <si>
    <t>v tom: program obnovy venkova</t>
  </si>
  <si>
    <t xml:space="preserve">                           - činnost KÚ</t>
  </si>
  <si>
    <t>kap. 50 - FRR KHK</t>
  </si>
  <si>
    <t>neinv.dot.městu Trutnov na čin.muzea</t>
  </si>
  <si>
    <t>dotace pro RRRS SV</t>
  </si>
  <si>
    <t>povinné pojistné placené zam.</t>
  </si>
  <si>
    <t>platy zam. a ost.pl.za prov.práci</t>
  </si>
  <si>
    <t>neinv.dar Kr.ředitelství policie ČR</t>
  </si>
  <si>
    <t>př.z pronáj.majetku - odv.zdravotnictví</t>
  </si>
  <si>
    <t>ostatní běžné výdaje - EPC</t>
  </si>
  <si>
    <t xml:space="preserve">                         - příspěvek PO na provoz</t>
  </si>
  <si>
    <t xml:space="preserve">                         - investiční dotace PO</t>
  </si>
  <si>
    <t>v tom: Centrum EP-centrum sdílených sl.:</t>
  </si>
  <si>
    <t xml:space="preserve">            rezerva - inv.</t>
  </si>
  <si>
    <t>z toho:</t>
  </si>
  <si>
    <t>tř. 3 - Kapitálové příjmy</t>
  </si>
  <si>
    <t xml:space="preserve">               - POV</t>
  </si>
  <si>
    <t xml:space="preserve">               - životní prostředí a zem.</t>
  </si>
  <si>
    <t>kap. 13 - evropská integrace a globální granty</t>
  </si>
  <si>
    <t>kap. 21 - investice a evrop.projekty</t>
  </si>
  <si>
    <t xml:space="preserve">    cyklobusy</t>
  </si>
  <si>
    <t>EPC</t>
  </si>
  <si>
    <t>příspěvek PO na provoz-Centrum EP-sdíl.sl.</t>
  </si>
  <si>
    <t>investiční transfery PO-CEP-sdíl.sl.</t>
  </si>
  <si>
    <t>kapitál.výdaje - doprava</t>
  </si>
  <si>
    <t>průmyslová zóna Vrchlabí</t>
  </si>
  <si>
    <t>neinvestiční transfery a.s.-ZOO DKNL</t>
  </si>
  <si>
    <t>rezerva na investice</t>
  </si>
  <si>
    <t>zapojení výsledku hospodaření</t>
  </si>
  <si>
    <t>Upravený rozpočet na nem. Náchod 2013</t>
  </si>
  <si>
    <t xml:space="preserve">ostatní běžné výdaje      </t>
  </si>
  <si>
    <t>Archeopark Všestary</t>
  </si>
  <si>
    <r>
      <t xml:space="preserve">Rozpočet na rok 2013 
</t>
    </r>
    <r>
      <rPr>
        <b/>
        <sz val="9"/>
        <color rgb="FFFF0000"/>
        <rFont val="Arial CE"/>
        <charset val="238"/>
      </rPr>
      <t>po org.zm.</t>
    </r>
  </si>
  <si>
    <t xml:space="preserve">              v tom: běžné výdaje </t>
  </si>
  <si>
    <t>rezerva - a.s.</t>
  </si>
  <si>
    <t xml:space="preserve">     v tom:</t>
  </si>
  <si>
    <t xml:space="preserve">      v tom: POV</t>
  </si>
  <si>
    <t xml:space="preserve">                          kapitálové výdaje</t>
  </si>
  <si>
    <r>
      <t xml:space="preserve">kap. 11 - cestovní ruch - </t>
    </r>
    <r>
      <rPr>
        <b/>
        <sz val="10"/>
        <color rgb="FFFF0000"/>
        <rFont val="Arial CE"/>
        <charset val="238"/>
      </rPr>
      <t>do kap. 39</t>
    </r>
  </si>
  <si>
    <r>
      <t>kap. 39 - regionální rozvoj a</t>
    </r>
    <r>
      <rPr>
        <b/>
        <sz val="10"/>
        <color rgb="FFFF0000"/>
        <rFont val="Arial CE"/>
        <charset val="238"/>
      </rPr>
      <t xml:space="preserve"> CR</t>
    </r>
  </si>
  <si>
    <t>požadavek není započ.</t>
  </si>
  <si>
    <t>kap.11+39</t>
  </si>
  <si>
    <t>P -16 183,7</t>
  </si>
  <si>
    <t>P -2 528,9</t>
  </si>
  <si>
    <t>P - 2 274,5</t>
  </si>
  <si>
    <t>zm.zdroje fin.!</t>
  </si>
  <si>
    <t>EPC -1 886,9</t>
  </si>
  <si>
    <t>EPC -4 870,1</t>
  </si>
  <si>
    <t>kofinancování a předfinancování - kap. 21</t>
  </si>
  <si>
    <t xml:space="preserve">Moder. a dostavba ON Náchod </t>
  </si>
  <si>
    <t>přijaté úvěry (ON Náchod)</t>
  </si>
  <si>
    <t xml:space="preserve">               - vrcholový sport</t>
  </si>
  <si>
    <t xml:space="preserve">               - sport a tělovýchova</t>
  </si>
  <si>
    <t xml:space="preserve">               - volný čas</t>
  </si>
  <si>
    <t>rezerva</t>
  </si>
  <si>
    <t>rezerva  -  blokováno pro zdravotnictví</t>
  </si>
  <si>
    <t>ostatní kapitálové výdaje - cyklostezky</t>
  </si>
  <si>
    <t>energetika</t>
  </si>
  <si>
    <t>kapitál.výdaje - energetika</t>
  </si>
  <si>
    <t>Příloha č. 1</t>
  </si>
  <si>
    <t>(v tis. Kč)</t>
  </si>
  <si>
    <t xml:space="preserve">Schválený rozpočet na
 r. 2014 </t>
  </si>
  <si>
    <t xml:space="preserve">Bilance příjmů a výdajů rozpočtu Královéhradeckého kraje  
 na r. 2014 </t>
  </si>
  <si>
    <t>Rozpočet byl schválen usn. č. ZK/11/584/2013 z 9. 12. 2013</t>
  </si>
</sst>
</file>

<file path=xl/styles.xml><?xml version="1.0" encoding="utf-8"?>
<styleSheet xmlns="http://schemas.openxmlformats.org/spreadsheetml/2006/main">
  <numFmts count="5">
    <numFmt numFmtId="43" formatCode="_-* #,##0.00\ _K_č_-;\-* #,##0.00\ _K_č_-;_-* &quot;-&quot;??\ _K_č_-;_-@_-"/>
    <numFmt numFmtId="164" formatCode="#,##0\ _K_č"/>
    <numFmt numFmtId="165" formatCode="#,##0.0\ _K_č"/>
    <numFmt numFmtId="166" formatCode="#,##0.0_ ;\-#,##0.0\ "/>
    <numFmt numFmtId="167" formatCode="#,##0.0"/>
  </numFmts>
  <fonts count="24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 CE"/>
      <charset val="238"/>
    </font>
    <font>
      <sz val="8"/>
      <color rgb="FFFF0000"/>
      <name val="Arial CE"/>
      <charset val="238"/>
    </font>
    <font>
      <sz val="9"/>
      <name val="Arial CE"/>
      <family val="2"/>
      <charset val="238"/>
    </font>
    <font>
      <sz val="7"/>
      <color rgb="FFFF000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trike/>
      <sz val="10"/>
      <name val="Arial CE"/>
      <charset val="238"/>
    </font>
    <font>
      <strike/>
      <sz val="10"/>
      <name val="Arial CE"/>
      <family val="2"/>
      <charset val="238"/>
    </font>
    <font>
      <b/>
      <sz val="9"/>
      <color rgb="FFFF0000"/>
      <name val="Arial CE"/>
      <charset val="238"/>
    </font>
    <font>
      <b/>
      <sz val="12"/>
      <name val="Arial CE"/>
      <charset val="238"/>
    </font>
    <font>
      <b/>
      <strike/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3" fontId="0" fillId="0" borderId="0" xfId="0"/>
    <xf numFmtId="3" fontId="3" fillId="0" borderId="2" xfId="0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 wrapText="1"/>
    </xf>
    <xf numFmtId="3" fontId="3" fillId="0" borderId="3" xfId="0" applyFont="1" applyFill="1" applyBorder="1" applyAlignment="1">
      <alignment horizontal="left" vertical="center"/>
    </xf>
    <xf numFmtId="165" fontId="0" fillId="0" borderId="3" xfId="0" applyNumberFormat="1" applyBorder="1"/>
    <xf numFmtId="3" fontId="5" fillId="0" borderId="3" xfId="0" applyFont="1" applyFill="1" applyBorder="1"/>
    <xf numFmtId="166" fontId="3" fillId="0" borderId="3" xfId="1" applyNumberFormat="1" applyFont="1" applyFill="1" applyBorder="1"/>
    <xf numFmtId="3" fontId="6" fillId="0" borderId="3" xfId="0" applyFont="1" applyFill="1" applyBorder="1"/>
    <xf numFmtId="166" fontId="1" fillId="0" borderId="3" xfId="1" applyNumberFormat="1" applyFont="1" applyFill="1" applyBorder="1"/>
    <xf numFmtId="3" fontId="3" fillId="0" borderId="3" xfId="0" applyFont="1" applyFill="1" applyBorder="1"/>
    <xf numFmtId="166" fontId="0" fillId="0" borderId="6" xfId="0" applyNumberFormat="1" applyBorder="1"/>
    <xf numFmtId="3" fontId="8" fillId="0" borderId="3" xfId="0" applyFont="1" applyFill="1" applyBorder="1"/>
    <xf numFmtId="166" fontId="8" fillId="0" borderId="3" xfId="1" applyNumberFormat="1" applyFont="1" applyFill="1" applyBorder="1"/>
    <xf numFmtId="166" fontId="0" fillId="0" borderId="3" xfId="0" applyNumberFormat="1" applyBorder="1"/>
    <xf numFmtId="3" fontId="6" fillId="0" borderId="7" xfId="0" applyFont="1" applyFill="1" applyBorder="1"/>
    <xf numFmtId="166" fontId="1" fillId="0" borderId="7" xfId="1" applyNumberFormat="1" applyFont="1" applyFill="1" applyBorder="1"/>
    <xf numFmtId="166" fontId="6" fillId="0" borderId="3" xfId="1" applyNumberFormat="1" applyFont="1" applyFill="1" applyBorder="1"/>
    <xf numFmtId="166" fontId="6" fillId="0" borderId="7" xfId="1" applyNumberFormat="1" applyFont="1" applyFill="1" applyBorder="1"/>
    <xf numFmtId="166" fontId="10" fillId="0" borderId="7" xfId="1" applyNumberFormat="1" applyFont="1" applyFill="1" applyBorder="1"/>
    <xf numFmtId="3" fontId="11" fillId="0" borderId="3" xfId="0" applyFont="1" applyFill="1" applyBorder="1"/>
    <xf numFmtId="3" fontId="11" fillId="0" borderId="7" xfId="0" applyFont="1" applyFill="1" applyBorder="1"/>
    <xf numFmtId="3" fontId="13" fillId="0" borderId="3" xfId="0" applyFont="1" applyFill="1" applyBorder="1"/>
    <xf numFmtId="166" fontId="13" fillId="0" borderId="3" xfId="1" applyNumberFormat="1" applyFont="1" applyFill="1" applyBorder="1"/>
    <xf numFmtId="166" fontId="6" fillId="0" borderId="3" xfId="1" applyNumberFormat="1" applyFont="1" applyFill="1" applyBorder="1" applyAlignment="1"/>
    <xf numFmtId="166" fontId="6" fillId="0" borderId="9" xfId="1" applyNumberFormat="1" applyFont="1" applyFill="1" applyBorder="1"/>
    <xf numFmtId="3" fontId="3" fillId="0" borderId="6" xfId="0" applyFont="1" applyFill="1" applyBorder="1" applyAlignment="1">
      <alignment vertical="center"/>
    </xf>
    <xf numFmtId="166" fontId="3" fillId="0" borderId="6" xfId="1" applyNumberFormat="1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166" fontId="3" fillId="0" borderId="3" xfId="1" applyNumberFormat="1" applyFont="1" applyFill="1" applyBorder="1" applyAlignment="1">
      <alignment vertical="center"/>
    </xf>
    <xf numFmtId="3" fontId="6" fillId="0" borderId="3" xfId="0" applyFont="1" applyFill="1" applyBorder="1" applyAlignment="1">
      <alignment vertical="center"/>
    </xf>
    <xf numFmtId="166" fontId="7" fillId="0" borderId="3" xfId="1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166" fontId="6" fillId="0" borderId="0" xfId="1" applyNumberFormat="1" applyFont="1" applyFill="1" applyBorder="1"/>
    <xf numFmtId="166" fontId="0" fillId="0" borderId="0" xfId="0" applyNumberFormat="1"/>
    <xf numFmtId="3" fontId="2" fillId="0" borderId="0" xfId="0" applyFont="1" applyFill="1" applyBorder="1" applyAlignment="1">
      <alignment vertical="center"/>
    </xf>
    <xf numFmtId="3" fontId="1" fillId="0" borderId="0" xfId="0" applyFont="1"/>
    <xf numFmtId="166" fontId="1" fillId="0" borderId="3" xfId="1" applyNumberFormat="1" applyFont="1" applyFill="1" applyBorder="1" applyAlignment="1">
      <alignment vertical="center"/>
    </xf>
    <xf numFmtId="3" fontId="6" fillId="0" borderId="9" xfId="0" applyFont="1" applyFill="1" applyBorder="1"/>
    <xf numFmtId="166" fontId="0" fillId="0" borderId="3" xfId="0" applyNumberFormat="1" applyFill="1" applyBorder="1"/>
    <xf numFmtId="3" fontId="16" fillId="0" borderId="3" xfId="0" applyFont="1" applyFill="1" applyBorder="1"/>
    <xf numFmtId="166" fontId="16" fillId="0" borderId="3" xfId="1" applyNumberFormat="1" applyFont="1" applyFill="1" applyBorder="1"/>
    <xf numFmtId="3" fontId="7" fillId="2" borderId="5" xfId="0" applyFont="1" applyFill="1" applyBorder="1" applyAlignment="1">
      <alignment vertical="center"/>
    </xf>
    <xf numFmtId="166" fontId="3" fillId="2" borderId="5" xfId="1" applyNumberFormat="1" applyFont="1" applyFill="1" applyBorder="1" applyAlignment="1">
      <alignment vertical="center"/>
    </xf>
    <xf numFmtId="3" fontId="3" fillId="4" borderId="3" xfId="0" applyFont="1" applyFill="1" applyBorder="1"/>
    <xf numFmtId="166" fontId="3" fillId="4" borderId="3" xfId="1" applyNumberFormat="1" applyFont="1" applyFill="1" applyBorder="1"/>
    <xf numFmtId="3" fontId="7" fillId="3" borderId="3" xfId="0" applyFont="1" applyFill="1" applyBorder="1" applyAlignment="1">
      <alignment vertical="center"/>
    </xf>
    <xf numFmtId="166" fontId="3" fillId="3" borderId="3" xfId="1" applyNumberFormat="1" applyFont="1" applyFill="1" applyBorder="1" applyAlignment="1">
      <alignment vertical="center"/>
    </xf>
    <xf numFmtId="167" fontId="3" fillId="0" borderId="3" xfId="1" applyNumberFormat="1" applyFont="1" applyFill="1" applyBorder="1"/>
    <xf numFmtId="167" fontId="1" fillId="0" borderId="3" xfId="1" applyNumberFormat="1" applyFont="1" applyFill="1" applyBorder="1"/>
    <xf numFmtId="167" fontId="0" fillId="0" borderId="3" xfId="0" applyNumberFormat="1" applyBorder="1"/>
    <xf numFmtId="167" fontId="3" fillId="4" borderId="3" xfId="1" applyNumberFormat="1" applyFont="1" applyFill="1" applyBorder="1"/>
    <xf numFmtId="167" fontId="8" fillId="0" borderId="3" xfId="1" applyNumberFormat="1" applyFont="1" applyFill="1" applyBorder="1"/>
    <xf numFmtId="167" fontId="1" fillId="0" borderId="7" xfId="1" applyNumberFormat="1" applyFont="1" applyFill="1" applyBorder="1"/>
    <xf numFmtId="167" fontId="6" fillId="0" borderId="3" xfId="1" applyNumberFormat="1" applyFont="1" applyFill="1" applyBorder="1"/>
    <xf numFmtId="167" fontId="6" fillId="0" borderId="7" xfId="1" applyNumberFormat="1" applyFont="1" applyFill="1" applyBorder="1"/>
    <xf numFmtId="167" fontId="13" fillId="0" borderId="3" xfId="1" applyNumberFormat="1" applyFont="1" applyFill="1" applyBorder="1"/>
    <xf numFmtId="167" fontId="6" fillId="0" borderId="9" xfId="1" applyNumberFormat="1" applyFont="1" applyFill="1" applyBorder="1"/>
    <xf numFmtId="167" fontId="3" fillId="3" borderId="3" xfId="1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vertical="center"/>
    </xf>
    <xf numFmtId="167" fontId="6" fillId="0" borderId="0" xfId="1" applyNumberFormat="1" applyFont="1" applyFill="1" applyBorder="1"/>
    <xf numFmtId="167" fontId="0" fillId="0" borderId="0" xfId="0" applyNumberFormat="1"/>
    <xf numFmtId="167" fontId="0" fillId="0" borderId="0" xfId="0" applyNumberFormat="1" applyFill="1"/>
    <xf numFmtId="3" fontId="3" fillId="4" borderId="3" xfId="0" applyFont="1" applyFill="1" applyBorder="1" applyAlignment="1">
      <alignment wrapText="1"/>
    </xf>
    <xf numFmtId="166" fontId="17" fillId="0" borderId="3" xfId="1" applyNumberFormat="1" applyFont="1" applyFill="1" applyBorder="1"/>
    <xf numFmtId="166" fontId="18" fillId="0" borderId="3" xfId="1" applyNumberFormat="1" applyFont="1" applyFill="1" applyBorder="1"/>
    <xf numFmtId="166" fontId="18" fillId="0" borderId="7" xfId="1" applyNumberFormat="1" applyFont="1" applyFill="1" applyBorder="1"/>
    <xf numFmtId="3" fontId="0" fillId="0" borderId="0" xfId="0" applyFont="1"/>
    <xf numFmtId="3" fontId="8" fillId="0" borderId="7" xfId="0" applyFont="1" applyFill="1" applyBorder="1"/>
    <xf numFmtId="166" fontId="8" fillId="0" borderId="7" xfId="1" applyNumberFormat="1" applyFont="1" applyFill="1" applyBorder="1"/>
    <xf numFmtId="167" fontId="8" fillId="0" borderId="7" xfId="1" applyNumberFormat="1" applyFont="1" applyFill="1" applyBorder="1"/>
    <xf numFmtId="166" fontId="14" fillId="0" borderId="7" xfId="1" applyNumberFormat="1" applyFont="1" applyFill="1" applyBorder="1"/>
    <xf numFmtId="167" fontId="14" fillId="0" borderId="7" xfId="1" applyNumberFormat="1" applyFont="1" applyFill="1" applyBorder="1"/>
    <xf numFmtId="166" fontId="6" fillId="0" borderId="7" xfId="1" applyNumberFormat="1" applyFont="1" applyFill="1" applyBorder="1" applyAlignment="1"/>
    <xf numFmtId="166" fontId="6" fillId="0" borderId="9" xfId="1" applyNumberFormat="1" applyFont="1" applyFill="1" applyBorder="1" applyAlignment="1"/>
    <xf numFmtId="165" fontId="0" fillId="0" borderId="4" xfId="0" applyNumberFormat="1" applyBorder="1"/>
    <xf numFmtId="166" fontId="3" fillId="0" borderId="4" xfId="1" applyNumberFormat="1" applyFont="1" applyFill="1" applyBorder="1"/>
    <xf numFmtId="166" fontId="0" fillId="0" borderId="4" xfId="0" applyNumberFormat="1" applyBorder="1"/>
    <xf numFmtId="166" fontId="1" fillId="0" borderId="4" xfId="1" applyNumberFormat="1" applyFont="1" applyFill="1" applyBorder="1"/>
    <xf numFmtId="166" fontId="1" fillId="0" borderId="8" xfId="1" applyNumberFormat="1" applyFont="1" applyFill="1" applyBorder="1"/>
    <xf numFmtId="166" fontId="17" fillId="0" borderId="4" xfId="1" applyNumberFormat="1" applyFont="1" applyFill="1" applyBorder="1"/>
    <xf numFmtId="166" fontId="6" fillId="0" borderId="4" xfId="1" applyNumberFormat="1" applyFont="1" applyFill="1" applyBorder="1"/>
    <xf numFmtId="166" fontId="18" fillId="0" borderId="4" xfId="1" applyNumberFormat="1" applyFont="1" applyFill="1" applyBorder="1"/>
    <xf numFmtId="166" fontId="6" fillId="0" borderId="8" xfId="1" applyNumberFormat="1" applyFont="1" applyFill="1" applyBorder="1"/>
    <xf numFmtId="166" fontId="18" fillId="0" borderId="8" xfId="1" applyNumberFormat="1" applyFont="1" applyFill="1" applyBorder="1"/>
    <xf numFmtId="166" fontId="13" fillId="0" borderId="4" xfId="1" applyNumberFormat="1" applyFont="1" applyFill="1" applyBorder="1"/>
    <xf numFmtId="166" fontId="16" fillId="0" borderId="4" xfId="1" applyNumberFormat="1" applyFont="1" applyFill="1" applyBorder="1"/>
    <xf numFmtId="164" fontId="8" fillId="5" borderId="2" xfId="2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/>
    <xf numFmtId="164" fontId="15" fillId="0" borderId="3" xfId="0" applyNumberFormat="1" applyFont="1" applyBorder="1"/>
    <xf numFmtId="167" fontId="12" fillId="0" borderId="3" xfId="0" applyNumberFormat="1" applyFont="1" applyBorder="1"/>
    <xf numFmtId="167" fontId="10" fillId="0" borderId="3" xfId="0" applyNumberFormat="1" applyFont="1" applyBorder="1" applyAlignment="1">
      <alignment horizontal="center"/>
    </xf>
    <xf numFmtId="167" fontId="3" fillId="0" borderId="3" xfId="0" applyNumberFormat="1" applyFont="1" applyFill="1" applyBorder="1"/>
    <xf numFmtId="167" fontId="21" fillId="4" borderId="3" xfId="1" applyNumberFormat="1" applyFont="1" applyFill="1" applyBorder="1"/>
    <xf numFmtId="166" fontId="14" fillId="0" borderId="3" xfId="1" applyNumberFormat="1" applyFont="1" applyFill="1" applyBorder="1"/>
    <xf numFmtId="3" fontId="14" fillId="0" borderId="3" xfId="0" applyFont="1" applyFill="1" applyBorder="1"/>
    <xf numFmtId="3" fontId="23" fillId="0" borderId="0" xfId="0" applyFont="1" applyAlignment="1">
      <alignment wrapText="1"/>
    </xf>
    <xf numFmtId="3" fontId="16" fillId="0" borderId="0" xfId="0" applyFont="1"/>
    <xf numFmtId="3" fontId="23" fillId="0" borderId="0" xfId="0" applyFont="1"/>
    <xf numFmtId="164" fontId="4" fillId="6" borderId="2" xfId="2" applyNumberFormat="1" applyFont="1" applyFill="1" applyBorder="1" applyAlignment="1">
      <alignment horizontal="center" vertical="center" wrapText="1"/>
    </xf>
    <xf numFmtId="3" fontId="0" fillId="0" borderId="0" xfId="0" applyFill="1"/>
    <xf numFmtId="3" fontId="0" fillId="0" borderId="0" xfId="0" applyAlignment="1">
      <alignment horizontal="right" vertical="top"/>
    </xf>
    <xf numFmtId="3" fontId="20" fillId="2" borderId="0" xfId="0" applyFont="1" applyFill="1" applyAlignment="1">
      <alignment horizontal="center" vertical="center" wrapText="1"/>
    </xf>
    <xf numFmtId="3" fontId="0" fillId="0" borderId="1" xfId="0" applyBorder="1" applyAlignment="1">
      <alignment horizontal="center" vertical="center" wrapText="1"/>
    </xf>
    <xf numFmtId="3" fontId="0" fillId="0" borderId="1" xfId="0" applyFont="1" applyBorder="1" applyAlignment="1">
      <alignment horizontal="center" vertical="center" wrapText="1"/>
    </xf>
    <xf numFmtId="3" fontId="22" fillId="0" borderId="0" xfId="0" applyFont="1" applyAlignment="1">
      <alignment horizontal="left" vertical="center"/>
    </xf>
  </cellXfs>
  <cellStyles count="3">
    <cellStyle name="čárky" xfId="1" builtinId="3"/>
    <cellStyle name="měny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3"/>
  <sheetViews>
    <sheetView tabSelected="1" zoomScaleNormal="100" zoomScaleSheetLayoutView="100" workbookViewId="0">
      <pane ySplit="4" topLeftCell="A174" activePane="bottomLeft" state="frozen"/>
      <selection pane="bottomLeft" activeCell="J185" sqref="J185"/>
    </sheetView>
  </sheetViews>
  <sheetFormatPr defaultRowHeight="12.75"/>
  <cols>
    <col min="1" max="1" width="42.5703125" customWidth="1"/>
    <col min="2" max="2" width="13.28515625" hidden="1" customWidth="1"/>
    <col min="3" max="3" width="15.7109375" customWidth="1"/>
    <col min="4" max="4" width="13.28515625" hidden="1" customWidth="1"/>
    <col min="5" max="5" width="15.7109375" customWidth="1"/>
    <col min="6" max="6" width="11.28515625" hidden="1" customWidth="1"/>
  </cols>
  <sheetData>
    <row r="1" spans="1:5" ht="25.5" customHeight="1">
      <c r="A1" s="105" t="s">
        <v>187</v>
      </c>
      <c r="E1" s="101" t="s">
        <v>183</v>
      </c>
    </row>
    <row r="2" spans="1:5" ht="38.25" customHeight="1">
      <c r="A2" s="102" t="s">
        <v>186</v>
      </c>
      <c r="B2" s="102"/>
      <c r="C2" s="102"/>
      <c r="D2" s="102"/>
      <c r="E2" s="102"/>
    </row>
    <row r="3" spans="1:5" ht="15" customHeight="1" thickBot="1">
      <c r="A3" s="103" t="s">
        <v>184</v>
      </c>
      <c r="B3" s="104"/>
      <c r="C3" s="104"/>
      <c r="D3" s="104"/>
      <c r="E3" s="104"/>
    </row>
    <row r="4" spans="1:5" ht="58.5" customHeight="1" thickBot="1">
      <c r="A4" s="1" t="s">
        <v>0</v>
      </c>
      <c r="B4" s="2" t="s">
        <v>122</v>
      </c>
      <c r="C4" s="2" t="s">
        <v>156</v>
      </c>
      <c r="D4" s="87" t="s">
        <v>153</v>
      </c>
      <c r="E4" s="99" t="s">
        <v>185</v>
      </c>
    </row>
    <row r="5" spans="1:5" ht="15" customHeight="1">
      <c r="A5" s="3" t="s">
        <v>1</v>
      </c>
      <c r="B5" s="4"/>
      <c r="C5" s="4"/>
      <c r="D5" s="75"/>
      <c r="E5" s="89"/>
    </row>
    <row r="6" spans="1:5">
      <c r="A6" s="9" t="s">
        <v>2</v>
      </c>
      <c r="B6" s="6">
        <v>2990000</v>
      </c>
      <c r="C6" s="6">
        <v>2990000</v>
      </c>
      <c r="D6" s="76"/>
      <c r="E6" s="48">
        <f>3019900</f>
        <v>3019900</v>
      </c>
    </row>
    <row r="7" spans="1:5">
      <c r="A7" s="9" t="s">
        <v>3</v>
      </c>
      <c r="B7" s="6">
        <f>SUM(B9:B13)</f>
        <v>213741.1</v>
      </c>
      <c r="C7" s="6">
        <f>SUM(C9:C13)</f>
        <v>253134.9</v>
      </c>
      <c r="D7" s="6"/>
      <c r="E7" s="6">
        <f>SUM(E9:E13)</f>
        <v>242944.40000000002</v>
      </c>
    </row>
    <row r="8" spans="1:5" ht="9.9499999999999993" customHeight="1">
      <c r="A8" s="5" t="s">
        <v>4</v>
      </c>
      <c r="B8" s="6"/>
      <c r="C8" s="6"/>
      <c r="D8" s="76"/>
      <c r="E8" s="48"/>
    </row>
    <row r="9" spans="1:5">
      <c r="A9" s="7" t="s">
        <v>5</v>
      </c>
      <c r="B9" s="8">
        <v>4000</v>
      </c>
      <c r="C9" s="8">
        <v>4000</v>
      </c>
      <c r="D9" s="8"/>
      <c r="E9" s="8">
        <v>4000</v>
      </c>
    </row>
    <row r="10" spans="1:5">
      <c r="A10" s="7" t="s">
        <v>6</v>
      </c>
      <c r="B10" s="8">
        <v>45000</v>
      </c>
      <c r="C10" s="8">
        <v>45000</v>
      </c>
      <c r="D10" s="8"/>
      <c r="E10" s="8">
        <v>45000</v>
      </c>
    </row>
    <row r="11" spans="1:5">
      <c r="A11" s="7" t="s">
        <v>109</v>
      </c>
      <c r="B11" s="8">
        <v>54000</v>
      </c>
      <c r="C11" s="8">
        <v>57526</v>
      </c>
      <c r="D11" s="8"/>
      <c r="E11" s="8">
        <v>57525.8</v>
      </c>
    </row>
    <row r="12" spans="1:5">
      <c r="A12" s="7" t="s">
        <v>132</v>
      </c>
      <c r="B12" s="8">
        <v>21635.1</v>
      </c>
      <c r="C12" s="8">
        <f>21971.1-413.7</f>
        <v>21557.399999999998</v>
      </c>
      <c r="D12" s="8"/>
      <c r="E12" s="8">
        <f>23340.3-2365</f>
        <v>20975.3</v>
      </c>
    </row>
    <row r="13" spans="1:5">
      <c r="A13" s="7" t="s">
        <v>7</v>
      </c>
      <c r="B13" s="8">
        <f t="shared" ref="B13" si="0">SUM(B14:B18)</f>
        <v>89106</v>
      </c>
      <c r="C13" s="8">
        <f t="shared" ref="C13" si="1">SUM(C14:C18)</f>
        <v>125051.5</v>
      </c>
      <c r="D13" s="78"/>
      <c r="E13" s="8">
        <f t="shared" ref="E13" si="2">SUM(E14:E18)</f>
        <v>115443.3</v>
      </c>
    </row>
    <row r="14" spans="1:5">
      <c r="A14" s="7" t="s">
        <v>8</v>
      </c>
      <c r="B14" s="8">
        <v>26718</v>
      </c>
      <c r="C14" s="8">
        <v>41733</v>
      </c>
      <c r="D14" s="8"/>
      <c r="E14" s="49">
        <v>40481</v>
      </c>
    </row>
    <row r="15" spans="1:5">
      <c r="A15" s="7" t="s">
        <v>103</v>
      </c>
      <c r="B15" s="8">
        <v>10000</v>
      </c>
      <c r="C15" s="8">
        <v>10810</v>
      </c>
      <c r="D15" s="8"/>
      <c r="E15" s="49">
        <f>8810+468</f>
        <v>9278</v>
      </c>
    </row>
    <row r="16" spans="1:5">
      <c r="A16" s="7" t="s">
        <v>9</v>
      </c>
      <c r="B16" s="8">
        <v>16250</v>
      </c>
      <c r="C16" s="8">
        <v>21684</v>
      </c>
      <c r="D16" s="8"/>
      <c r="E16" s="49">
        <v>21188</v>
      </c>
    </row>
    <row r="17" spans="1:9">
      <c r="A17" s="7" t="s">
        <v>10</v>
      </c>
      <c r="B17" s="8">
        <v>8154</v>
      </c>
      <c r="C17" s="8">
        <v>13408.5</v>
      </c>
      <c r="D17" s="8"/>
      <c r="E17" s="49">
        <v>10477.299999999999</v>
      </c>
    </row>
    <row r="18" spans="1:9">
      <c r="A18" s="7" t="s">
        <v>11</v>
      </c>
      <c r="B18" s="8">
        <v>27984</v>
      </c>
      <c r="C18" s="8">
        <v>37416</v>
      </c>
      <c r="D18" s="8"/>
      <c r="E18" s="49">
        <v>34019</v>
      </c>
    </row>
    <row r="19" spans="1:9">
      <c r="A19" s="9" t="s">
        <v>139</v>
      </c>
      <c r="B19" s="92">
        <v>18706.599999999999</v>
      </c>
      <c r="C19" s="92">
        <v>18706.599999999999</v>
      </c>
      <c r="D19" s="92"/>
      <c r="E19" s="92">
        <v>0</v>
      </c>
    </row>
    <row r="20" spans="1:9">
      <c r="A20" s="9" t="s">
        <v>12</v>
      </c>
      <c r="B20" s="6">
        <f t="shared" ref="B20:C20" si="3">SUM(B22:B23)</f>
        <v>72553</v>
      </c>
      <c r="C20" s="6">
        <f t="shared" si="3"/>
        <v>72553</v>
      </c>
      <c r="D20" s="6"/>
      <c r="E20" s="48">
        <f t="shared" ref="E20" si="4">SUM(E22:E23)</f>
        <v>72738</v>
      </c>
    </row>
    <row r="21" spans="1:9" ht="9.9499999999999993" customHeight="1">
      <c r="A21" s="5" t="s">
        <v>13</v>
      </c>
      <c r="B21" s="6"/>
      <c r="C21" s="6"/>
      <c r="D21" s="76"/>
      <c r="E21" s="48"/>
    </row>
    <row r="22" spans="1:9">
      <c r="A22" s="19" t="s">
        <v>14</v>
      </c>
      <c r="B22" s="8">
        <f>74650-3300+953</f>
        <v>72303</v>
      </c>
      <c r="C22" s="8">
        <v>72303</v>
      </c>
      <c r="D22" s="8"/>
      <c r="E22" s="8">
        <f>72303+185</f>
        <v>72488</v>
      </c>
    </row>
    <row r="23" spans="1:9" ht="13.5" thickBot="1">
      <c r="A23" s="7" t="s">
        <v>15</v>
      </c>
      <c r="B23" s="8">
        <v>250</v>
      </c>
      <c r="C23" s="8">
        <v>250</v>
      </c>
      <c r="D23" s="8"/>
      <c r="E23" s="8">
        <v>250</v>
      </c>
    </row>
    <row r="24" spans="1:9" ht="21.75" customHeight="1" thickBot="1">
      <c r="A24" s="42" t="s">
        <v>16</v>
      </c>
      <c r="B24" s="43">
        <f>B6+B7+B20+B19</f>
        <v>3295000.7</v>
      </c>
      <c r="C24" s="43">
        <f>C6+C7+C20+C19</f>
        <v>3334394.5</v>
      </c>
      <c r="D24" s="43"/>
      <c r="E24" s="43">
        <f>E6+E7+E20+E19</f>
        <v>3335582.4</v>
      </c>
    </row>
    <row r="25" spans="1:9" ht="21.95" customHeight="1" thickTop="1">
      <c r="A25" s="9" t="s">
        <v>17</v>
      </c>
      <c r="B25" s="13"/>
      <c r="C25" s="10"/>
      <c r="D25" s="77"/>
      <c r="E25" s="50"/>
    </row>
    <row r="26" spans="1:9" ht="20.100000000000001" customHeight="1">
      <c r="A26" s="44" t="s">
        <v>18</v>
      </c>
      <c r="B26" s="45">
        <f t="shared" ref="B26:C26" si="5">B27+B36</f>
        <v>44635</v>
      </c>
      <c r="C26" s="45">
        <f t="shared" si="5"/>
        <v>38874</v>
      </c>
      <c r="D26" s="45"/>
      <c r="E26" s="51">
        <f t="shared" ref="E26" si="6">E27+E36</f>
        <v>41879</v>
      </c>
    </row>
    <row r="27" spans="1:9" ht="15" customHeight="1">
      <c r="A27" s="11" t="s">
        <v>19</v>
      </c>
      <c r="B27" s="12">
        <f t="shared" ref="B27" si="7">SUM(B29:B35)</f>
        <v>44635</v>
      </c>
      <c r="C27" s="12">
        <f>SUM(C29:C35)</f>
        <v>38874</v>
      </c>
      <c r="D27" s="12"/>
      <c r="E27" s="12">
        <f>SUM(E29:E35)</f>
        <v>41879</v>
      </c>
    </row>
    <row r="28" spans="1:9" ht="11.1" customHeight="1">
      <c r="A28" s="5" t="s">
        <v>13</v>
      </c>
      <c r="B28" s="13"/>
      <c r="C28" s="13"/>
      <c r="D28" s="77"/>
      <c r="E28" s="50"/>
    </row>
    <row r="29" spans="1:9" ht="12.75" customHeight="1">
      <c r="A29" s="7" t="s">
        <v>20</v>
      </c>
      <c r="B29" s="8">
        <v>19432</v>
      </c>
      <c r="C29" s="8">
        <v>17328</v>
      </c>
      <c r="D29" s="78"/>
      <c r="E29" s="8">
        <v>15810</v>
      </c>
    </row>
    <row r="30" spans="1:9" ht="12.75" customHeight="1">
      <c r="A30" s="7" t="s">
        <v>129</v>
      </c>
      <c r="B30" s="8">
        <v>4442</v>
      </c>
      <c r="C30" s="8">
        <v>4446</v>
      </c>
      <c r="D30" s="78"/>
      <c r="E30" s="8">
        <v>3543</v>
      </c>
    </row>
    <row r="31" spans="1:9" ht="12.75" customHeight="1">
      <c r="A31" s="7" t="s">
        <v>21</v>
      </c>
      <c r="B31" s="8">
        <v>1350</v>
      </c>
      <c r="C31" s="8">
        <v>1300</v>
      </c>
      <c r="D31" s="78"/>
      <c r="E31" s="8">
        <v>1100</v>
      </c>
    </row>
    <row r="32" spans="1:9" ht="12.75" customHeight="1">
      <c r="A32" s="7" t="s">
        <v>22</v>
      </c>
      <c r="B32" s="8">
        <f>8456+1600+200</f>
        <v>10256</v>
      </c>
      <c r="C32" s="8">
        <v>7700</v>
      </c>
      <c r="D32" s="78"/>
      <c r="E32" s="8">
        <f>11726-1500-400+1500</f>
        <v>11326</v>
      </c>
      <c r="G32" s="100"/>
      <c r="H32" s="100"/>
      <c r="I32" s="100"/>
    </row>
    <row r="33" spans="1:5" ht="12.75" customHeight="1">
      <c r="A33" s="7" t="s">
        <v>110</v>
      </c>
      <c r="B33" s="8">
        <v>500</v>
      </c>
      <c r="C33" s="8">
        <v>500</v>
      </c>
      <c r="D33" s="78"/>
      <c r="E33" s="8">
        <v>500</v>
      </c>
    </row>
    <row r="34" spans="1:5" ht="12.75" hidden="1" customHeight="1">
      <c r="A34" s="7" t="s">
        <v>131</v>
      </c>
      <c r="B34" s="8"/>
      <c r="C34" s="8"/>
      <c r="D34" s="78"/>
      <c r="E34" s="8"/>
    </row>
    <row r="35" spans="1:5" ht="12.75" customHeight="1">
      <c r="A35" s="7" t="s">
        <v>23</v>
      </c>
      <c r="B35" s="8">
        <f>7655+1000</f>
        <v>8655</v>
      </c>
      <c r="C35" s="8">
        <v>7600</v>
      </c>
      <c r="D35" s="78"/>
      <c r="E35" s="8">
        <v>9600</v>
      </c>
    </row>
    <row r="36" spans="1:5" ht="12.75" customHeight="1">
      <c r="A36" s="68" t="s">
        <v>24</v>
      </c>
      <c r="B36" s="69">
        <f t="shared" ref="B36:C36" si="8">B39+B38</f>
        <v>0</v>
      </c>
      <c r="C36" s="69">
        <f t="shared" si="8"/>
        <v>0</v>
      </c>
      <c r="D36" s="69"/>
      <c r="E36" s="70">
        <f t="shared" ref="E36" si="9">E39+E38</f>
        <v>0</v>
      </c>
    </row>
    <row r="37" spans="1:5" ht="9" hidden="1" customHeight="1">
      <c r="A37" s="5" t="s">
        <v>13</v>
      </c>
      <c r="B37" s="13"/>
      <c r="C37" s="13"/>
      <c r="D37" s="77"/>
      <c r="E37" s="50"/>
    </row>
    <row r="38" spans="1:5" ht="12.75" hidden="1" customHeight="1">
      <c r="A38" s="7" t="s">
        <v>23</v>
      </c>
      <c r="B38" s="13"/>
      <c r="C38" s="13"/>
      <c r="D38" s="77"/>
      <c r="E38" s="50"/>
    </row>
    <row r="39" spans="1:5" ht="12.75" hidden="1" customHeight="1">
      <c r="A39" s="14" t="s">
        <v>113</v>
      </c>
      <c r="B39" s="15"/>
      <c r="C39" s="15"/>
      <c r="D39" s="79"/>
      <c r="E39" s="53"/>
    </row>
    <row r="40" spans="1:5" ht="20.100000000000001" customHeight="1">
      <c r="A40" s="44" t="s">
        <v>25</v>
      </c>
      <c r="B40" s="45">
        <f t="shared" ref="B40:C40" si="10">B41+B50</f>
        <v>290074.80000000005</v>
      </c>
      <c r="C40" s="45">
        <f t="shared" si="10"/>
        <v>287851.2</v>
      </c>
      <c r="D40" s="45"/>
      <c r="E40" s="45">
        <f t="shared" ref="E40" si="11">E41+E50</f>
        <v>285944.59999999998</v>
      </c>
    </row>
    <row r="41" spans="1:5" ht="15" customHeight="1">
      <c r="A41" s="11" t="s">
        <v>89</v>
      </c>
      <c r="B41" s="12">
        <f t="shared" ref="B41:C41" si="12">SUM(B43:B49)</f>
        <v>290074.80000000005</v>
      </c>
      <c r="C41" s="12">
        <f t="shared" si="12"/>
        <v>287851.2</v>
      </c>
      <c r="D41" s="12"/>
      <c r="E41" s="12">
        <f t="shared" ref="E41" si="13">SUM(E43:E49)</f>
        <v>285944.59999999998</v>
      </c>
    </row>
    <row r="42" spans="1:5" ht="11.1" customHeight="1">
      <c r="A42" s="5" t="s">
        <v>13</v>
      </c>
      <c r="B42" s="13"/>
      <c r="C42" s="13"/>
      <c r="D42" s="77"/>
      <c r="E42" s="50"/>
    </row>
    <row r="43" spans="1:5" ht="12.75" customHeight="1">
      <c r="A43" s="7" t="s">
        <v>130</v>
      </c>
      <c r="B43" s="8">
        <f>136307.1-2100.1</f>
        <v>134207</v>
      </c>
      <c r="C43" s="8">
        <v>133151.29999999999</v>
      </c>
      <c r="D43" s="78"/>
      <c r="E43" s="49">
        <f>133981.1+2144+4817.5-1070-1060.2+518</f>
        <v>139330.4</v>
      </c>
    </row>
    <row r="44" spans="1:5" ht="12.75" customHeight="1">
      <c r="A44" s="7" t="s">
        <v>129</v>
      </c>
      <c r="B44" s="8">
        <v>45355.199999999997</v>
      </c>
      <c r="C44" s="8">
        <v>44406.7</v>
      </c>
      <c r="D44" s="78"/>
      <c r="E44" s="49">
        <f>44722.5+724.5+1661.4-364.9+182</f>
        <v>46925.5</v>
      </c>
    </row>
    <row r="45" spans="1:5" ht="12.75" customHeight="1">
      <c r="A45" s="7" t="s">
        <v>26</v>
      </c>
      <c r="B45" s="8">
        <v>200</v>
      </c>
      <c r="C45" s="8">
        <v>200</v>
      </c>
      <c r="D45" s="78"/>
      <c r="E45" s="49">
        <v>200</v>
      </c>
    </row>
    <row r="46" spans="1:5" ht="12.75" customHeight="1">
      <c r="A46" s="7" t="s">
        <v>22</v>
      </c>
      <c r="B46" s="8">
        <f>4580.6+30738</f>
        <v>35318.6</v>
      </c>
      <c r="C46" s="8">
        <v>39437.5</v>
      </c>
      <c r="D46" s="78"/>
      <c r="E46" s="49">
        <f>38196.1+75+550+167.6+1070+400-37.1+18.1</f>
        <v>40439.699999999997</v>
      </c>
    </row>
    <row r="47" spans="1:5" ht="12.75" customHeight="1">
      <c r="A47" s="7" t="s">
        <v>27</v>
      </c>
      <c r="B47" s="8">
        <v>74842</v>
      </c>
      <c r="C47" s="8">
        <v>70503.7</v>
      </c>
      <c r="D47" s="78"/>
      <c r="E47" s="49">
        <f>60897-2000</f>
        <v>58897</v>
      </c>
    </row>
    <row r="48" spans="1:5" ht="12.75" customHeight="1">
      <c r="A48" s="7" t="s">
        <v>28</v>
      </c>
      <c r="B48" s="8">
        <v>152</v>
      </c>
      <c r="C48" s="8">
        <v>152</v>
      </c>
      <c r="D48" s="78"/>
      <c r="E48" s="49">
        <v>152</v>
      </c>
    </row>
    <row r="49" spans="1:6" ht="12.75" hidden="1" customHeight="1">
      <c r="A49" s="7" t="s">
        <v>29</v>
      </c>
      <c r="B49" s="8"/>
      <c r="C49" s="8"/>
      <c r="D49" s="78"/>
      <c r="E49" s="49"/>
    </row>
    <row r="50" spans="1:6" ht="12.75" customHeight="1">
      <c r="A50" s="68" t="s">
        <v>24</v>
      </c>
      <c r="B50" s="71">
        <f t="shared" ref="B50:C50" si="14">B52</f>
        <v>0</v>
      </c>
      <c r="C50" s="71">
        <f t="shared" si="14"/>
        <v>0</v>
      </c>
      <c r="D50" s="71"/>
      <c r="E50" s="72">
        <f t="shared" ref="E50" si="15">E52</f>
        <v>0</v>
      </c>
    </row>
    <row r="51" spans="1:6" ht="9" hidden="1" customHeight="1">
      <c r="A51" s="5" t="s">
        <v>13</v>
      </c>
      <c r="B51" s="8"/>
      <c r="C51" s="8"/>
      <c r="D51" s="78"/>
      <c r="E51" s="49"/>
    </row>
    <row r="52" spans="1:6" ht="12.75" hidden="1" customHeight="1">
      <c r="A52" s="14" t="s">
        <v>32</v>
      </c>
      <c r="B52" s="15"/>
      <c r="C52" s="15"/>
      <c r="D52" s="79"/>
      <c r="E52" s="53"/>
    </row>
    <row r="53" spans="1:6" ht="18.95" customHeight="1">
      <c r="A53" s="44" t="s">
        <v>30</v>
      </c>
      <c r="B53" s="45">
        <f>B54+B58</f>
        <v>119705</v>
      </c>
      <c r="C53" s="45">
        <f>C54+C58</f>
        <v>63810</v>
      </c>
      <c r="D53" s="45"/>
      <c r="E53" s="45">
        <f>E54+E58</f>
        <v>68545.7</v>
      </c>
    </row>
    <row r="54" spans="1:6" ht="15" customHeight="1">
      <c r="A54" s="11" t="s">
        <v>19</v>
      </c>
      <c r="B54" s="12">
        <f>SUM(B56:B57)</f>
        <v>74705</v>
      </c>
      <c r="C54" s="12">
        <f>SUM(C57:C57)</f>
        <v>18810</v>
      </c>
      <c r="D54" s="12"/>
      <c r="E54" s="12">
        <f>SUM(E57:E57)</f>
        <v>23545.7</v>
      </c>
    </row>
    <row r="55" spans="1:6" ht="11.1" customHeight="1">
      <c r="A55" s="5" t="s">
        <v>13</v>
      </c>
      <c r="B55" s="39"/>
      <c r="C55" s="13"/>
      <c r="D55" s="77"/>
      <c r="E55" s="50"/>
    </row>
    <row r="56" spans="1:6" ht="15" hidden="1" customHeight="1">
      <c r="A56" s="7" t="s">
        <v>150</v>
      </c>
      <c r="B56" s="39">
        <v>45000</v>
      </c>
      <c r="C56" s="13"/>
      <c r="D56" s="77"/>
      <c r="E56" s="50"/>
    </row>
    <row r="57" spans="1:6" ht="14.25" customHeight="1">
      <c r="A57" s="7" t="s">
        <v>22</v>
      </c>
      <c r="B57" s="8">
        <v>29705</v>
      </c>
      <c r="C57" s="8">
        <v>18810</v>
      </c>
      <c r="D57" s="78"/>
      <c r="E57" s="49">
        <f>18245.7+5300</f>
        <v>23545.7</v>
      </c>
      <c r="F57" s="96" t="s">
        <v>164</v>
      </c>
    </row>
    <row r="58" spans="1:6" ht="15" customHeight="1">
      <c r="A58" s="11" t="s">
        <v>24</v>
      </c>
      <c r="B58" s="12">
        <f>SUM(B60:B62)</f>
        <v>45000</v>
      </c>
      <c r="C58" s="12">
        <f>SUM(C60:C62)</f>
        <v>45000</v>
      </c>
      <c r="D58" s="12"/>
      <c r="E58" s="12">
        <f>SUM(E60:E62)</f>
        <v>45000</v>
      </c>
    </row>
    <row r="59" spans="1:6" ht="11.1" customHeight="1">
      <c r="A59" s="5" t="s">
        <v>13</v>
      </c>
      <c r="B59" s="39"/>
      <c r="C59" s="13"/>
      <c r="D59" s="77"/>
      <c r="E59" s="50"/>
    </row>
    <row r="60" spans="1:6" ht="12.75" customHeight="1">
      <c r="A60" s="14" t="s">
        <v>31</v>
      </c>
      <c r="B60" s="15">
        <v>45000</v>
      </c>
      <c r="C60" s="15">
        <v>45000</v>
      </c>
      <c r="D60" s="79"/>
      <c r="E60" s="53">
        <v>45000</v>
      </c>
    </row>
    <row r="61" spans="1:6" ht="12.75" hidden="1" customHeight="1">
      <c r="A61" s="7" t="s">
        <v>92</v>
      </c>
      <c r="B61" s="8"/>
      <c r="C61" s="8"/>
      <c r="D61" s="78"/>
      <c r="E61" s="49"/>
    </row>
    <row r="62" spans="1:6" ht="12.75" hidden="1" customHeight="1">
      <c r="A62" s="14" t="s">
        <v>32</v>
      </c>
      <c r="B62" s="15"/>
      <c r="C62" s="15"/>
      <c r="D62" s="79"/>
      <c r="E62" s="53"/>
    </row>
    <row r="63" spans="1:6" ht="18.95" customHeight="1">
      <c r="A63" s="44" t="s">
        <v>33</v>
      </c>
      <c r="B63" s="45">
        <f t="shared" ref="B63" si="16">B64</f>
        <v>9350</v>
      </c>
      <c r="C63" s="45">
        <f>C64+C68</f>
        <v>10174</v>
      </c>
      <c r="D63" s="45">
        <f t="shared" ref="D63:E63" si="17">D64+D68</f>
        <v>0</v>
      </c>
      <c r="E63" s="45">
        <f t="shared" si="17"/>
        <v>6305</v>
      </c>
    </row>
    <row r="64" spans="1:6" ht="14.25" customHeight="1">
      <c r="A64" s="11" t="s">
        <v>19</v>
      </c>
      <c r="B64" s="12">
        <f t="shared" ref="B64:C64" si="18">B67+B66</f>
        <v>9350</v>
      </c>
      <c r="C64" s="12">
        <f t="shared" si="18"/>
        <v>10174</v>
      </c>
      <c r="D64" s="12"/>
      <c r="E64" s="12">
        <f t="shared" ref="E64" si="19">E67+E66</f>
        <v>6305</v>
      </c>
    </row>
    <row r="65" spans="1:6" ht="10.5" customHeight="1">
      <c r="A65" s="5" t="s">
        <v>13</v>
      </c>
      <c r="B65" s="39"/>
      <c r="C65" s="13"/>
      <c r="D65" s="77"/>
      <c r="E65" s="50"/>
    </row>
    <row r="66" spans="1:6" ht="12.75" hidden="1" customHeight="1">
      <c r="A66" s="7" t="s">
        <v>90</v>
      </c>
      <c r="B66" s="39"/>
      <c r="C66" s="13"/>
      <c r="D66" s="77"/>
      <c r="E66" s="50"/>
    </row>
    <row r="67" spans="1:6" ht="12.75" customHeight="1">
      <c r="A67" s="7" t="s">
        <v>22</v>
      </c>
      <c r="B67" s="39">
        <f>4100+4650+600</f>
        <v>9350</v>
      </c>
      <c r="C67" s="13">
        <v>10174</v>
      </c>
      <c r="D67" s="77"/>
      <c r="E67" s="50">
        <f>9069.5-3064.5+300</f>
        <v>6305</v>
      </c>
    </row>
    <row r="68" spans="1:6" ht="12.75" customHeight="1">
      <c r="A68" s="68" t="s">
        <v>24</v>
      </c>
      <c r="B68" s="71">
        <v>0</v>
      </c>
      <c r="C68" s="71">
        <v>0</v>
      </c>
      <c r="D68" s="71"/>
      <c r="E68" s="72">
        <v>0</v>
      </c>
    </row>
    <row r="69" spans="1:6" ht="12.75" hidden="1" customHeight="1">
      <c r="A69" s="5" t="s">
        <v>13</v>
      </c>
      <c r="B69" s="8"/>
      <c r="C69" s="8"/>
      <c r="D69" s="78"/>
      <c r="E69" s="49"/>
    </row>
    <row r="70" spans="1:6" ht="12.75" hidden="1" customHeight="1">
      <c r="A70" s="14" t="s">
        <v>92</v>
      </c>
      <c r="B70" s="15"/>
      <c r="C70" s="15"/>
      <c r="D70" s="79"/>
      <c r="E70" s="53"/>
    </row>
    <row r="71" spans="1:6" ht="18.95" customHeight="1">
      <c r="A71" s="44" t="s">
        <v>34</v>
      </c>
      <c r="B71" s="45">
        <f t="shared" ref="B71:C71" si="20">B72+B81</f>
        <v>1122174.1000000001</v>
      </c>
      <c r="C71" s="45">
        <f t="shared" si="20"/>
        <v>1097760</v>
      </c>
      <c r="D71" s="45"/>
      <c r="E71" s="51">
        <f t="shared" ref="E71" si="21">E72+E81</f>
        <v>1103617.1000000001</v>
      </c>
    </row>
    <row r="72" spans="1:6" ht="15" customHeight="1">
      <c r="A72" s="11" t="s">
        <v>91</v>
      </c>
      <c r="B72" s="12">
        <f t="shared" ref="B72:C72" si="22">SUM(B74:B80)</f>
        <v>1091000</v>
      </c>
      <c r="C72" s="12">
        <f t="shared" si="22"/>
        <v>1097760</v>
      </c>
      <c r="D72" s="12"/>
      <c r="E72" s="12">
        <f t="shared" ref="E72" si="23">SUM(E74:E80)</f>
        <v>1103617.1000000001</v>
      </c>
    </row>
    <row r="73" spans="1:6" ht="8.25" customHeight="1">
      <c r="A73" s="5" t="s">
        <v>138</v>
      </c>
      <c r="B73" s="13"/>
      <c r="C73" s="13"/>
      <c r="D73" s="77"/>
      <c r="E73" s="50"/>
    </row>
    <row r="74" spans="1:6" ht="12.75" customHeight="1">
      <c r="A74" s="7" t="s">
        <v>35</v>
      </c>
      <c r="B74" s="13"/>
      <c r="C74" s="13"/>
      <c r="D74" s="77"/>
      <c r="E74" s="50"/>
    </row>
    <row r="75" spans="1:6" ht="12.75" customHeight="1">
      <c r="A75" s="7" t="s">
        <v>36</v>
      </c>
      <c r="B75" s="8">
        <v>266800</v>
      </c>
      <c r="C75" s="8">
        <v>269800</v>
      </c>
      <c r="D75" s="8"/>
      <c r="E75" s="8">
        <f>289807.8+4634.2</f>
        <v>294442</v>
      </c>
    </row>
    <row r="76" spans="1:6" ht="12.75" hidden="1" customHeight="1">
      <c r="A76" s="7" t="s">
        <v>144</v>
      </c>
      <c r="B76" s="8"/>
      <c r="C76" s="8"/>
      <c r="D76" s="8"/>
      <c r="E76" s="8"/>
    </row>
    <row r="77" spans="1:6" ht="12.75" customHeight="1">
      <c r="A77" s="7" t="s">
        <v>37</v>
      </c>
      <c r="B77" s="8">
        <v>363000</v>
      </c>
      <c r="C77" s="8">
        <v>363000</v>
      </c>
      <c r="D77" s="8"/>
      <c r="E77" s="8">
        <f>369673</f>
        <v>369673</v>
      </c>
    </row>
    <row r="78" spans="1:6" ht="12.75" customHeight="1">
      <c r="A78" s="7" t="s">
        <v>38</v>
      </c>
      <c r="B78" s="8">
        <v>6000</v>
      </c>
      <c r="C78" s="8">
        <v>22000</v>
      </c>
      <c r="D78" s="8"/>
      <c r="E78" s="8">
        <v>20998</v>
      </c>
    </row>
    <row r="79" spans="1:6" ht="12.75" customHeight="1">
      <c r="A79" s="7" t="s">
        <v>117</v>
      </c>
      <c r="B79" s="8">
        <v>5400</v>
      </c>
      <c r="C79" s="8">
        <v>9410</v>
      </c>
      <c r="D79" s="8"/>
      <c r="E79" s="8"/>
    </row>
    <row r="80" spans="1:6" ht="12.75" customHeight="1">
      <c r="A80" s="7" t="s">
        <v>22</v>
      </c>
      <c r="B80" s="8">
        <v>449800</v>
      </c>
      <c r="C80" s="8">
        <v>433550</v>
      </c>
      <c r="D80" s="8"/>
      <c r="E80" s="8">
        <f>417504.1+1000</f>
        <v>418504.1</v>
      </c>
      <c r="F80" t="s">
        <v>166</v>
      </c>
    </row>
    <row r="81" spans="1:5" ht="12.75" customHeight="1">
      <c r="A81" s="68" t="s">
        <v>24</v>
      </c>
      <c r="B81" s="69">
        <f>B83+B84</f>
        <v>31174.1</v>
      </c>
      <c r="C81" s="69">
        <v>0</v>
      </c>
      <c r="D81" s="69"/>
      <c r="E81" s="70">
        <v>0</v>
      </c>
    </row>
    <row r="82" spans="1:5" ht="9.75" hidden="1" customHeight="1">
      <c r="A82" s="5" t="s">
        <v>13</v>
      </c>
      <c r="B82" s="16"/>
      <c r="C82" s="16"/>
      <c r="D82" s="81"/>
      <c r="E82" s="54"/>
    </row>
    <row r="83" spans="1:5" ht="12.75" hidden="1" customHeight="1">
      <c r="A83" s="7" t="s">
        <v>32</v>
      </c>
      <c r="B83" s="16">
        <v>15000</v>
      </c>
      <c r="C83" s="65">
        <v>14000</v>
      </c>
      <c r="D83" s="82"/>
      <c r="E83" s="54"/>
    </row>
    <row r="84" spans="1:5" ht="12.75" hidden="1" customHeight="1">
      <c r="A84" s="7" t="s">
        <v>121</v>
      </c>
      <c r="B84" s="16">
        <v>16174.1</v>
      </c>
      <c r="C84" s="65"/>
      <c r="D84" s="82"/>
      <c r="E84" s="54"/>
    </row>
    <row r="85" spans="1:5" ht="18.95" customHeight="1">
      <c r="A85" s="44" t="s">
        <v>162</v>
      </c>
      <c r="B85" s="45">
        <f t="shared" ref="B85:C85" si="24">B86+B90</f>
        <v>4417.3</v>
      </c>
      <c r="C85" s="45">
        <f t="shared" si="24"/>
        <v>4280</v>
      </c>
      <c r="D85" s="45"/>
      <c r="E85" s="93">
        <f t="shared" ref="E85" si="25">E86+E90</f>
        <v>0</v>
      </c>
    </row>
    <row r="86" spans="1:5" ht="12.75" customHeight="1">
      <c r="A86" s="11" t="s">
        <v>19</v>
      </c>
      <c r="B86" s="12">
        <f t="shared" ref="B86:C86" si="26">B88</f>
        <v>4417.3</v>
      </c>
      <c r="C86" s="12">
        <f t="shared" si="26"/>
        <v>4280</v>
      </c>
      <c r="D86" s="12"/>
      <c r="E86" s="52"/>
    </row>
    <row r="87" spans="1:5" ht="11.1" customHeight="1">
      <c r="A87" s="5" t="s">
        <v>13</v>
      </c>
      <c r="B87" s="8"/>
      <c r="C87" s="13"/>
      <c r="D87" s="77"/>
      <c r="E87" s="50"/>
    </row>
    <row r="88" spans="1:5" ht="12.75" customHeight="1">
      <c r="A88" s="7" t="s">
        <v>22</v>
      </c>
      <c r="B88" s="8">
        <v>4417.3</v>
      </c>
      <c r="C88" s="8">
        <v>4280</v>
      </c>
      <c r="D88" s="78"/>
      <c r="E88" s="49"/>
    </row>
    <row r="89" spans="1:5" ht="12.75" customHeight="1">
      <c r="A89" s="7" t="s">
        <v>90</v>
      </c>
      <c r="B89" s="8"/>
      <c r="C89" s="8"/>
      <c r="D89" s="78"/>
      <c r="E89" s="49"/>
    </row>
    <row r="90" spans="1:5" ht="12.75" customHeight="1">
      <c r="A90" s="68" t="s">
        <v>24</v>
      </c>
      <c r="B90" s="69">
        <f t="shared" ref="B90:C90" si="27">B92</f>
        <v>0</v>
      </c>
      <c r="C90" s="71">
        <f t="shared" si="27"/>
        <v>0</v>
      </c>
      <c r="D90" s="71"/>
      <c r="E90" s="72">
        <v>0</v>
      </c>
    </row>
    <row r="91" spans="1:5" ht="9" hidden="1" customHeight="1">
      <c r="A91" s="5" t="s">
        <v>13</v>
      </c>
      <c r="B91" s="8"/>
      <c r="C91" s="8"/>
      <c r="D91" s="78"/>
      <c r="E91" s="49"/>
    </row>
    <row r="92" spans="1:5" ht="12.75" hidden="1" customHeight="1">
      <c r="A92" s="14" t="s">
        <v>32</v>
      </c>
      <c r="B92" s="15"/>
      <c r="C92" s="15"/>
      <c r="D92" s="79"/>
      <c r="E92" s="53"/>
    </row>
    <row r="93" spans="1:5" ht="18.95" customHeight="1">
      <c r="A93" s="44" t="s">
        <v>39</v>
      </c>
      <c r="B93" s="45">
        <f t="shared" ref="B93:C93" si="28">B94+B99</f>
        <v>29670</v>
      </c>
      <c r="C93" s="45">
        <f t="shared" si="28"/>
        <v>36147</v>
      </c>
      <c r="D93" s="45"/>
      <c r="E93" s="51">
        <f t="shared" ref="E93" si="29">E94+E99</f>
        <v>26577.4</v>
      </c>
    </row>
    <row r="94" spans="1:5" ht="12.75" customHeight="1">
      <c r="A94" s="11" t="s">
        <v>93</v>
      </c>
      <c r="B94" s="12">
        <f t="shared" ref="B94:C94" si="30">SUM(B96:B98)</f>
        <v>26670</v>
      </c>
      <c r="C94" s="12">
        <f t="shared" si="30"/>
        <v>29416.6</v>
      </c>
      <c r="D94" s="12"/>
      <c r="E94" s="12">
        <f t="shared" ref="E94" si="31">SUM(E96:E98)</f>
        <v>24580.799999999999</v>
      </c>
    </row>
    <row r="95" spans="1:5" ht="11.1" customHeight="1">
      <c r="A95" s="5" t="s">
        <v>4</v>
      </c>
      <c r="B95" s="39"/>
      <c r="C95" s="13"/>
      <c r="D95" s="77"/>
      <c r="E95" s="50"/>
    </row>
    <row r="96" spans="1:5" ht="12.75" customHeight="1">
      <c r="A96" s="7" t="s">
        <v>22</v>
      </c>
      <c r="B96" s="8">
        <f>4670</f>
        <v>4670</v>
      </c>
      <c r="C96" s="8">
        <v>4580</v>
      </c>
      <c r="D96" s="8"/>
      <c r="E96" s="8">
        <f>5880.8-1000-300</f>
        <v>4580.8</v>
      </c>
    </row>
    <row r="97" spans="1:5" ht="12.75" customHeight="1">
      <c r="A97" s="7" t="s">
        <v>145</v>
      </c>
      <c r="B97" s="8"/>
      <c r="C97" s="8">
        <v>4836.6000000000004</v>
      </c>
      <c r="D97" s="8"/>
      <c r="E97" s="8"/>
    </row>
    <row r="98" spans="1:5" ht="12.75" customHeight="1">
      <c r="A98" s="7" t="s">
        <v>94</v>
      </c>
      <c r="B98" s="8">
        <v>22000</v>
      </c>
      <c r="C98" s="8">
        <v>20000</v>
      </c>
      <c r="D98" s="78"/>
      <c r="E98" s="49">
        <v>20000</v>
      </c>
    </row>
    <row r="99" spans="1:5" ht="12.75" customHeight="1">
      <c r="A99" s="11" t="s">
        <v>24</v>
      </c>
      <c r="B99" s="12">
        <f t="shared" ref="B99:C99" si="32">SUM(B101:B102)</f>
        <v>3000</v>
      </c>
      <c r="C99" s="12">
        <f t="shared" si="32"/>
        <v>6730.4</v>
      </c>
      <c r="D99" s="12"/>
      <c r="E99" s="52">
        <f t="shared" ref="E99" si="33">SUM(E101:E102)</f>
        <v>1996.6000000000004</v>
      </c>
    </row>
    <row r="100" spans="1:5" ht="11.1" customHeight="1">
      <c r="A100" s="5" t="s">
        <v>4</v>
      </c>
      <c r="B100" s="39"/>
      <c r="C100" s="13"/>
      <c r="D100" s="77"/>
      <c r="E100" s="50"/>
    </row>
    <row r="101" spans="1:5" ht="12.75" customHeight="1">
      <c r="A101" s="7" t="s">
        <v>32</v>
      </c>
      <c r="B101" s="8">
        <v>3000</v>
      </c>
      <c r="C101" s="8">
        <v>2200</v>
      </c>
      <c r="D101" s="8"/>
      <c r="E101" s="8">
        <f>4096.6-2100</f>
        <v>1996.6000000000004</v>
      </c>
    </row>
    <row r="102" spans="1:5" ht="12.75" customHeight="1">
      <c r="A102" s="14" t="s">
        <v>145</v>
      </c>
      <c r="B102" s="15"/>
      <c r="C102" s="15">
        <v>4530.3999999999996</v>
      </c>
      <c r="D102" s="15"/>
      <c r="E102" s="15"/>
    </row>
    <row r="103" spans="1:5" ht="23.25" customHeight="1">
      <c r="A103" s="63" t="s">
        <v>142</v>
      </c>
      <c r="B103" s="45">
        <f t="shared" ref="B103:C103" si="34">B104+B109</f>
        <v>10523.1</v>
      </c>
      <c r="C103" s="45">
        <f t="shared" si="34"/>
        <v>2810</v>
      </c>
      <c r="D103" s="45"/>
      <c r="E103" s="51">
        <f t="shared" ref="E103" si="35">E104+E109</f>
        <v>2725.7</v>
      </c>
    </row>
    <row r="104" spans="1:5" ht="15" customHeight="1">
      <c r="A104" s="11" t="s">
        <v>19</v>
      </c>
      <c r="B104" s="12">
        <f t="shared" ref="B104" si="36">SUM(B106:B108)</f>
        <v>10523.1</v>
      </c>
      <c r="C104" s="12">
        <f>SUM(C106:C108)</f>
        <v>2810</v>
      </c>
      <c r="D104" s="12"/>
      <c r="E104" s="12">
        <f t="shared" ref="E104" si="37">SUM(E106:E108)</f>
        <v>2725.7</v>
      </c>
    </row>
    <row r="105" spans="1:5" ht="11.1" customHeight="1">
      <c r="A105" s="5" t="s">
        <v>13</v>
      </c>
      <c r="B105" s="39"/>
      <c r="C105" s="13"/>
      <c r="D105" s="77"/>
      <c r="E105" s="50"/>
    </row>
    <row r="106" spans="1:5" ht="12.75" customHeight="1">
      <c r="A106" s="7" t="s">
        <v>22</v>
      </c>
      <c r="B106" s="8">
        <v>3729.3</v>
      </c>
      <c r="C106" s="8">
        <v>2810</v>
      </c>
      <c r="D106" s="8"/>
      <c r="E106" s="8">
        <v>2725.7</v>
      </c>
    </row>
    <row r="107" spans="1:5" ht="12.75" hidden="1" customHeight="1">
      <c r="A107" s="19" t="s">
        <v>128</v>
      </c>
      <c r="B107" s="8">
        <v>1100</v>
      </c>
      <c r="C107" s="8"/>
      <c r="D107" s="78"/>
      <c r="E107" s="49"/>
    </row>
    <row r="108" spans="1:5" ht="12.75" hidden="1" customHeight="1">
      <c r="A108" s="19" t="s">
        <v>41</v>
      </c>
      <c r="B108" s="8">
        <v>5693.8</v>
      </c>
      <c r="C108" s="8"/>
      <c r="D108" s="78"/>
      <c r="E108" s="49"/>
    </row>
    <row r="109" spans="1:5" ht="12.75" customHeight="1">
      <c r="A109" s="68" t="s">
        <v>24</v>
      </c>
      <c r="B109" s="69">
        <f t="shared" ref="B109:C109" si="38">SUM(B111:B113)</f>
        <v>0</v>
      </c>
      <c r="C109" s="69">
        <f t="shared" si="38"/>
        <v>0</v>
      </c>
      <c r="D109" s="69"/>
      <c r="E109" s="70">
        <v>0</v>
      </c>
    </row>
    <row r="110" spans="1:5" ht="12.75" hidden="1" customHeight="1">
      <c r="A110" s="5" t="s">
        <v>13</v>
      </c>
      <c r="B110" s="16"/>
      <c r="C110" s="16"/>
      <c r="D110" s="81"/>
      <c r="E110" s="54"/>
    </row>
    <row r="111" spans="1:5" ht="12.75" hidden="1" customHeight="1">
      <c r="A111" s="7" t="s">
        <v>95</v>
      </c>
      <c r="B111" s="16"/>
      <c r="C111" s="16"/>
      <c r="D111" s="81"/>
      <c r="E111" s="54"/>
    </row>
    <row r="112" spans="1:5" ht="12.75" hidden="1" customHeight="1">
      <c r="A112" s="19" t="s">
        <v>40</v>
      </c>
      <c r="B112" s="16"/>
      <c r="C112" s="16"/>
      <c r="D112" s="81"/>
      <c r="E112" s="54"/>
    </row>
    <row r="113" spans="1:6" ht="12.75" hidden="1" customHeight="1">
      <c r="A113" s="14" t="s">
        <v>32</v>
      </c>
      <c r="B113" s="15"/>
      <c r="C113" s="15"/>
      <c r="D113" s="79"/>
      <c r="E113" s="53"/>
    </row>
    <row r="114" spans="1:6" ht="21.95" customHeight="1">
      <c r="A114" s="44" t="s">
        <v>42</v>
      </c>
      <c r="B114" s="45">
        <f t="shared" ref="B114:C114" si="39">B115+B119</f>
        <v>345504</v>
      </c>
      <c r="C114" s="45">
        <f t="shared" si="39"/>
        <v>346639</v>
      </c>
      <c r="D114" s="45"/>
      <c r="E114" s="45">
        <f t="shared" ref="E114" si="40">E115+E119</f>
        <v>334369.7</v>
      </c>
    </row>
    <row r="115" spans="1:6" ht="12.75" customHeight="1">
      <c r="A115" s="11" t="s">
        <v>43</v>
      </c>
      <c r="B115" s="12">
        <f t="shared" ref="B115:C115" si="41">SUM(B117:B118)</f>
        <v>345504</v>
      </c>
      <c r="C115" s="12">
        <f t="shared" si="41"/>
        <v>346639</v>
      </c>
      <c r="D115" s="12"/>
      <c r="E115" s="12">
        <f t="shared" ref="E115" si="42">SUM(E117:E118)</f>
        <v>334369.7</v>
      </c>
    </row>
    <row r="116" spans="1:6" ht="11.1" customHeight="1">
      <c r="A116" s="5" t="s">
        <v>13</v>
      </c>
      <c r="B116" s="39"/>
      <c r="C116" s="13"/>
      <c r="D116" s="77"/>
      <c r="E116" s="50"/>
    </row>
    <row r="117" spans="1:6" ht="12.75" customHeight="1">
      <c r="A117" s="7" t="s">
        <v>38</v>
      </c>
      <c r="B117" s="8">
        <v>323675</v>
      </c>
      <c r="C117" s="8">
        <v>325745</v>
      </c>
      <c r="D117" s="8"/>
      <c r="E117" s="8">
        <f>316790.8-4870.1</f>
        <v>311920.7</v>
      </c>
      <c r="F117" s="97" t="s">
        <v>171</v>
      </c>
    </row>
    <row r="118" spans="1:6" ht="12.75" customHeight="1">
      <c r="A118" s="7" t="s">
        <v>44</v>
      </c>
      <c r="B118" s="8">
        <f>23229-2000+600</f>
        <v>21829</v>
      </c>
      <c r="C118" s="8">
        <v>20894</v>
      </c>
      <c r="D118" s="8"/>
      <c r="E118" s="8">
        <f>19449+3000</f>
        <v>22449</v>
      </c>
    </row>
    <row r="119" spans="1:6" ht="12.75" customHeight="1">
      <c r="A119" s="68" t="s">
        <v>24</v>
      </c>
      <c r="B119" s="69">
        <f>B121+B122</f>
        <v>0</v>
      </c>
      <c r="C119" s="69">
        <f>C121+C122</f>
        <v>0</v>
      </c>
      <c r="D119" s="69"/>
      <c r="E119" s="70">
        <v>0</v>
      </c>
    </row>
    <row r="120" spans="1:6" ht="9.75" hidden="1" customHeight="1">
      <c r="A120" s="5" t="s">
        <v>13</v>
      </c>
      <c r="B120" s="16"/>
      <c r="C120" s="16"/>
      <c r="D120" s="81"/>
      <c r="E120" s="54"/>
    </row>
    <row r="121" spans="1:6" ht="12.75" hidden="1" customHeight="1">
      <c r="A121" s="7" t="s">
        <v>95</v>
      </c>
      <c r="B121" s="16"/>
      <c r="C121" s="16"/>
      <c r="D121" s="81"/>
      <c r="E121" s="54"/>
    </row>
    <row r="122" spans="1:6" ht="12.75" hidden="1" customHeight="1">
      <c r="A122" s="14" t="s">
        <v>92</v>
      </c>
      <c r="B122" s="17"/>
      <c r="C122" s="17"/>
      <c r="D122" s="83"/>
      <c r="E122" s="55"/>
    </row>
    <row r="123" spans="1:6" ht="21.95" customHeight="1">
      <c r="A123" s="44" t="s">
        <v>45</v>
      </c>
      <c r="B123" s="45">
        <f t="shared" ref="B123:C123" si="43">B124+B130</f>
        <v>404841</v>
      </c>
      <c r="C123" s="45">
        <f t="shared" si="43"/>
        <v>405826</v>
      </c>
      <c r="D123" s="45"/>
      <c r="E123" s="51">
        <f t="shared" ref="E123" si="44">E124+E130</f>
        <v>456945.5</v>
      </c>
    </row>
    <row r="124" spans="1:6" ht="12.95" customHeight="1">
      <c r="A124" s="11" t="s">
        <v>96</v>
      </c>
      <c r="B124" s="12">
        <f>SUM(B126:B129)</f>
        <v>404841</v>
      </c>
      <c r="C124" s="12">
        <f>SUM(C126:C129)</f>
        <v>405826</v>
      </c>
      <c r="D124" s="12"/>
      <c r="E124" s="12">
        <f t="shared" ref="E124" si="45">SUM(E126:E129)</f>
        <v>456945.5</v>
      </c>
    </row>
    <row r="125" spans="1:6" ht="11.1" customHeight="1">
      <c r="A125" s="5" t="s">
        <v>13</v>
      </c>
      <c r="B125" s="13"/>
      <c r="C125" s="13"/>
      <c r="D125" s="77"/>
      <c r="E125" s="50"/>
    </row>
    <row r="126" spans="1:6" ht="12.75" customHeight="1">
      <c r="A126" s="7" t="s">
        <v>38</v>
      </c>
      <c r="B126" s="8">
        <f>217206+100+1520</f>
        <v>218826</v>
      </c>
      <c r="C126" s="8">
        <v>218826</v>
      </c>
      <c r="D126" s="8"/>
      <c r="E126" s="8">
        <f>217926</f>
        <v>217926</v>
      </c>
      <c r="F126" s="98"/>
    </row>
    <row r="127" spans="1:6" ht="12.75" customHeight="1">
      <c r="A127" s="7" t="s">
        <v>118</v>
      </c>
      <c r="B127" s="8">
        <v>176000</v>
      </c>
      <c r="C127" s="8">
        <v>176000</v>
      </c>
      <c r="D127" s="8"/>
      <c r="E127" s="8">
        <v>176000</v>
      </c>
    </row>
    <row r="128" spans="1:6" ht="12.75" customHeight="1">
      <c r="A128" s="7" t="s">
        <v>158</v>
      </c>
      <c r="B128" s="8"/>
      <c r="C128" s="8"/>
      <c r="D128" s="8"/>
      <c r="E128" s="8">
        <v>50000</v>
      </c>
    </row>
    <row r="129" spans="1:6" ht="12.75" customHeight="1">
      <c r="A129" s="7" t="s">
        <v>44</v>
      </c>
      <c r="B129" s="8">
        <v>10015</v>
      </c>
      <c r="C129" s="8">
        <v>11000</v>
      </c>
      <c r="D129" s="8"/>
      <c r="E129" s="8">
        <v>13019.5</v>
      </c>
    </row>
    <row r="130" spans="1:6" ht="12.75" customHeight="1">
      <c r="A130" s="68" t="s">
        <v>24</v>
      </c>
      <c r="B130" s="69">
        <f>SUM(B132:B132)</f>
        <v>0</v>
      </c>
      <c r="C130" s="69">
        <v>0</v>
      </c>
      <c r="D130" s="69"/>
      <c r="E130" s="70">
        <v>0</v>
      </c>
    </row>
    <row r="131" spans="1:6" ht="9.75" hidden="1" customHeight="1">
      <c r="A131" s="5" t="s">
        <v>13</v>
      </c>
      <c r="B131" s="16"/>
      <c r="C131" s="16"/>
      <c r="D131" s="81"/>
      <c r="E131" s="54"/>
    </row>
    <row r="132" spans="1:6" ht="12.75" hidden="1" customHeight="1">
      <c r="A132" s="7" t="s">
        <v>32</v>
      </c>
      <c r="B132" s="16"/>
      <c r="C132" s="65">
        <v>300000</v>
      </c>
      <c r="D132" s="65"/>
      <c r="E132" s="54"/>
    </row>
    <row r="133" spans="1:6" ht="21.95" customHeight="1">
      <c r="A133" s="44" t="s">
        <v>46</v>
      </c>
      <c r="B133" s="45">
        <f t="shared" ref="B133:C133" si="46">B134+B140</f>
        <v>149450.79999999999</v>
      </c>
      <c r="C133" s="45">
        <f t="shared" si="46"/>
        <v>142965</v>
      </c>
      <c r="D133" s="45"/>
      <c r="E133" s="51">
        <f t="shared" ref="E133" si="47">E134+E140</f>
        <v>140239.6</v>
      </c>
    </row>
    <row r="134" spans="1:6" ht="15" customHeight="1">
      <c r="A134" s="11" t="s">
        <v>47</v>
      </c>
      <c r="B134" s="12">
        <f t="shared" ref="B134" si="48">SUM(B136:B139)</f>
        <v>149450.79999999999</v>
      </c>
      <c r="C134" s="12">
        <f>SUM(C136:C139)</f>
        <v>142965</v>
      </c>
      <c r="D134" s="12"/>
      <c r="E134" s="12">
        <f t="shared" ref="E134" si="49">SUM(E136:E139)</f>
        <v>140239.6</v>
      </c>
    </row>
    <row r="135" spans="1:6" ht="11.1" customHeight="1">
      <c r="A135" s="5" t="s">
        <v>13</v>
      </c>
      <c r="B135" s="39"/>
      <c r="C135" s="13"/>
      <c r="D135" s="77"/>
      <c r="E135" s="90"/>
    </row>
    <row r="136" spans="1:6" ht="12.75" customHeight="1">
      <c r="A136" s="7" t="s">
        <v>38</v>
      </c>
      <c r="B136" s="8">
        <v>126050</v>
      </c>
      <c r="C136" s="8">
        <v>123300</v>
      </c>
      <c r="D136" s="8"/>
      <c r="E136" s="8">
        <f>123300-2528.9</f>
        <v>120771.1</v>
      </c>
      <c r="F136" t="s">
        <v>167</v>
      </c>
    </row>
    <row r="137" spans="1:6" ht="12.75" customHeight="1">
      <c r="A137" s="7" t="s">
        <v>127</v>
      </c>
      <c r="B137" s="8">
        <v>2900</v>
      </c>
      <c r="C137" s="8">
        <v>3115</v>
      </c>
      <c r="D137" s="8"/>
      <c r="E137" s="8">
        <v>3246</v>
      </c>
    </row>
    <row r="138" spans="1:6" ht="12.75" customHeight="1">
      <c r="A138" s="7" t="s">
        <v>155</v>
      </c>
      <c r="B138" s="8"/>
      <c r="C138" s="8"/>
      <c r="D138" s="8"/>
      <c r="E138" s="8">
        <v>300</v>
      </c>
    </row>
    <row r="139" spans="1:6" ht="12.75" customHeight="1">
      <c r="A139" s="7" t="s">
        <v>22</v>
      </c>
      <c r="B139" s="8">
        <f>149050.8-B136-B137+400</f>
        <v>20500.799999999988</v>
      </c>
      <c r="C139" s="8">
        <v>16550</v>
      </c>
      <c r="D139" s="8"/>
      <c r="E139" s="8">
        <v>15922.5</v>
      </c>
    </row>
    <row r="140" spans="1:6" ht="12.75" customHeight="1">
      <c r="A140" s="68" t="s">
        <v>24</v>
      </c>
      <c r="B140" s="69">
        <f t="shared" ref="B140:C140" si="50">B143</f>
        <v>0</v>
      </c>
      <c r="C140" s="69">
        <f t="shared" si="50"/>
        <v>0</v>
      </c>
      <c r="D140" s="69"/>
      <c r="E140" s="70">
        <v>0</v>
      </c>
    </row>
    <row r="141" spans="1:6" ht="9.75" hidden="1" customHeight="1">
      <c r="A141" s="5" t="s">
        <v>4</v>
      </c>
      <c r="B141" s="39"/>
      <c r="C141" s="8"/>
      <c r="D141" s="78"/>
      <c r="E141" s="50"/>
    </row>
    <row r="142" spans="1:6" ht="15" hidden="1" customHeight="1">
      <c r="A142" s="7" t="s">
        <v>92</v>
      </c>
      <c r="B142" s="39"/>
      <c r="C142" s="8"/>
      <c r="D142" s="78"/>
      <c r="E142" s="50"/>
    </row>
    <row r="143" spans="1:6" ht="12.75" hidden="1" customHeight="1">
      <c r="A143" s="14" t="s">
        <v>104</v>
      </c>
      <c r="B143" s="18"/>
      <c r="C143" s="15"/>
      <c r="D143" s="79"/>
      <c r="E143" s="53"/>
    </row>
    <row r="144" spans="1:6" ht="19.5" customHeight="1">
      <c r="A144" s="44" t="s">
        <v>143</v>
      </c>
      <c r="B144" s="45">
        <f>B145+B153</f>
        <v>0</v>
      </c>
      <c r="C144" s="45">
        <f t="shared" ref="C144" si="51">C145+C153</f>
        <v>354190</v>
      </c>
      <c r="D144" s="45"/>
      <c r="E144" s="45">
        <f t="shared" ref="E144" si="52">E145+E153</f>
        <v>153494.79999999999</v>
      </c>
    </row>
    <row r="145" spans="1:6" ht="12.75" customHeight="1">
      <c r="A145" s="11" t="s">
        <v>19</v>
      </c>
      <c r="B145" s="12">
        <f t="shared" ref="B145" si="53">SUM(B147:B152)</f>
        <v>0</v>
      </c>
      <c r="C145" s="12">
        <f>SUM(C147:C152)</f>
        <v>9190</v>
      </c>
      <c r="D145" s="12"/>
      <c r="E145" s="12">
        <f t="shared" ref="E145" si="54">SUM(E147:E152)</f>
        <v>15450.5</v>
      </c>
    </row>
    <row r="146" spans="1:6" ht="12.75" customHeight="1">
      <c r="A146" s="5" t="s">
        <v>13</v>
      </c>
      <c r="B146" s="39"/>
      <c r="C146" s="13"/>
      <c r="D146" s="77"/>
      <c r="E146" s="50"/>
    </row>
    <row r="147" spans="1:6" ht="12.75" customHeight="1">
      <c r="A147" s="7" t="s">
        <v>22</v>
      </c>
      <c r="B147" s="8"/>
      <c r="C147" s="8">
        <v>600</v>
      </c>
      <c r="D147" s="8"/>
      <c r="E147" s="8">
        <v>582</v>
      </c>
    </row>
    <row r="148" spans="1:6" ht="12.75" customHeight="1">
      <c r="A148" s="7" t="s">
        <v>181</v>
      </c>
      <c r="B148" s="8"/>
      <c r="C148" s="8"/>
      <c r="D148" s="8"/>
      <c r="E148" s="8">
        <v>1300</v>
      </c>
    </row>
    <row r="149" spans="1:6" ht="12.75" customHeight="1">
      <c r="A149" s="7" t="s">
        <v>145</v>
      </c>
      <c r="B149" s="8"/>
      <c r="C149" s="8"/>
      <c r="D149" s="8"/>
      <c r="E149" s="8">
        <v>3861.2</v>
      </c>
    </row>
    <row r="150" spans="1:6" ht="12.75" customHeight="1">
      <c r="A150" s="19" t="s">
        <v>128</v>
      </c>
      <c r="B150" s="8"/>
      <c r="C150" s="8">
        <v>1067</v>
      </c>
      <c r="D150" s="8"/>
      <c r="E150" s="8">
        <v>850</v>
      </c>
    </row>
    <row r="151" spans="1:6" ht="12.75" customHeight="1">
      <c r="A151" s="19" t="s">
        <v>41</v>
      </c>
      <c r="B151" s="8"/>
      <c r="C151" s="8">
        <v>5523</v>
      </c>
      <c r="D151" s="8"/>
      <c r="E151" s="8">
        <v>5357.3</v>
      </c>
    </row>
    <row r="152" spans="1:6" ht="12.75" customHeight="1">
      <c r="A152" s="5" t="s">
        <v>146</v>
      </c>
      <c r="B152" s="8"/>
      <c r="C152" s="8">
        <v>2000</v>
      </c>
      <c r="D152" s="8"/>
      <c r="E152" s="8">
        <v>3500</v>
      </c>
    </row>
    <row r="153" spans="1:6" ht="12.75" customHeight="1">
      <c r="A153" s="11" t="s">
        <v>24</v>
      </c>
      <c r="B153" s="12">
        <f t="shared" ref="B153:C153" si="55">SUM(B155:B161)</f>
        <v>0</v>
      </c>
      <c r="C153" s="12">
        <f t="shared" si="55"/>
        <v>345000</v>
      </c>
      <c r="D153" s="12"/>
      <c r="E153" s="12">
        <f t="shared" ref="E153" si="56">SUM(E155:E161)</f>
        <v>138044.29999999999</v>
      </c>
    </row>
    <row r="154" spans="1:6" ht="12.75" customHeight="1">
      <c r="A154" s="5" t="s">
        <v>13</v>
      </c>
      <c r="B154" s="16"/>
      <c r="C154" s="16"/>
      <c r="D154" s="81"/>
      <c r="E154" s="54"/>
    </row>
    <row r="155" spans="1:6" ht="12.75" customHeight="1">
      <c r="A155" s="7" t="s">
        <v>182</v>
      </c>
      <c r="B155" s="16"/>
      <c r="C155" s="16"/>
      <c r="D155" s="16"/>
      <c r="E155" s="8">
        <v>2100</v>
      </c>
    </row>
    <row r="156" spans="1:6" ht="12.75" customHeight="1">
      <c r="A156" s="7" t="s">
        <v>145</v>
      </c>
      <c r="B156" s="16"/>
      <c r="C156" s="16"/>
      <c r="D156" s="81"/>
      <c r="E156" s="8">
        <v>4364.3</v>
      </c>
    </row>
    <row r="157" spans="1:6" ht="12.75" customHeight="1">
      <c r="A157" s="7" t="s">
        <v>148</v>
      </c>
      <c r="B157" s="16"/>
      <c r="C157" s="16">
        <v>14000</v>
      </c>
      <c r="D157" s="16"/>
      <c r="E157" s="8">
        <v>13580</v>
      </c>
    </row>
    <row r="158" spans="1:6" ht="12.75" customHeight="1">
      <c r="A158" s="19" t="s">
        <v>173</v>
      </c>
      <c r="B158" s="16"/>
      <c r="C158" s="16">
        <v>300000</v>
      </c>
      <c r="D158" s="88">
        <v>63000</v>
      </c>
      <c r="E158" s="16">
        <v>100000</v>
      </c>
      <c r="F158" s="97" t="s">
        <v>169</v>
      </c>
    </row>
    <row r="159" spans="1:6" ht="12.75" customHeight="1">
      <c r="A159" s="19" t="s">
        <v>147</v>
      </c>
      <c r="B159" s="16"/>
      <c r="C159" s="16">
        <v>2000</v>
      </c>
      <c r="D159" s="81"/>
      <c r="E159" s="54"/>
    </row>
    <row r="160" spans="1:6" ht="12.75" customHeight="1">
      <c r="A160" s="20" t="s">
        <v>149</v>
      </c>
      <c r="B160" s="17"/>
      <c r="C160" s="17">
        <v>29000</v>
      </c>
      <c r="D160" s="83"/>
      <c r="E160" s="55">
        <v>18000</v>
      </c>
    </row>
    <row r="161" spans="1:6" ht="12.75" hidden="1" customHeight="1">
      <c r="A161" s="19" t="s">
        <v>32</v>
      </c>
      <c r="B161" s="16"/>
      <c r="C161" s="16"/>
      <c r="D161" s="81"/>
      <c r="E161" s="54"/>
    </row>
    <row r="162" spans="1:6" ht="21.95" customHeight="1">
      <c r="A162" s="44" t="s">
        <v>48</v>
      </c>
      <c r="B162" s="45">
        <f t="shared" ref="B162:C162" si="57">B163+B168</f>
        <v>163751</v>
      </c>
      <c r="C162" s="45">
        <f t="shared" si="57"/>
        <v>163499</v>
      </c>
      <c r="D162" s="45"/>
      <c r="E162" s="45">
        <f t="shared" ref="E162" si="58">E163+E168</f>
        <v>163493.19999999998</v>
      </c>
    </row>
    <row r="163" spans="1:6" ht="13.5" customHeight="1">
      <c r="A163" s="11" t="s">
        <v>49</v>
      </c>
      <c r="B163" s="12">
        <f t="shared" ref="B163" si="59">SUM(B165:B167)</f>
        <v>163751</v>
      </c>
      <c r="C163" s="12">
        <f>SUM(C165:C167)</f>
        <v>163499</v>
      </c>
      <c r="D163" s="12"/>
      <c r="E163" s="12">
        <f>SUM(E165:E167)</f>
        <v>163493.19999999998</v>
      </c>
    </row>
    <row r="164" spans="1:6" ht="12.75" customHeight="1">
      <c r="A164" s="5" t="s">
        <v>13</v>
      </c>
      <c r="B164" s="39"/>
      <c r="C164" s="13"/>
      <c r="D164" s="77"/>
      <c r="E164" s="91"/>
      <c r="F164" t="s">
        <v>168</v>
      </c>
    </row>
    <row r="165" spans="1:6" ht="12.75" customHeight="1">
      <c r="A165" s="7" t="s">
        <v>50</v>
      </c>
      <c r="B165" s="8">
        <f>132851-3500</f>
        <v>129351</v>
      </c>
      <c r="C165" s="8">
        <v>129351</v>
      </c>
      <c r="D165" s="8"/>
      <c r="E165" s="8">
        <f>129351-2274.5-1708.8-178.1+3900+500</f>
        <v>129589.59999999999</v>
      </c>
      <c r="F165" s="97" t="s">
        <v>170</v>
      </c>
    </row>
    <row r="166" spans="1:6" ht="12.75" customHeight="1">
      <c r="A166" s="7" t="s">
        <v>116</v>
      </c>
      <c r="B166" s="8">
        <v>26000</v>
      </c>
      <c r="C166" s="8">
        <v>26000</v>
      </c>
      <c r="D166" s="8"/>
      <c r="E166" s="8">
        <v>26000</v>
      </c>
    </row>
    <row r="167" spans="1:6" ht="12.75" customHeight="1">
      <c r="A167" s="7" t="s">
        <v>22</v>
      </c>
      <c r="B167" s="8">
        <v>8400</v>
      </c>
      <c r="C167" s="8">
        <f>8148</f>
        <v>8148</v>
      </c>
      <c r="D167" s="8"/>
      <c r="E167" s="8">
        <v>7903.6</v>
      </c>
    </row>
    <row r="168" spans="1:6" ht="12.75" customHeight="1">
      <c r="A168" s="68" t="s">
        <v>24</v>
      </c>
      <c r="B168" s="69">
        <f t="shared" ref="B168" si="60">SUM(B170:B171)</f>
        <v>0</v>
      </c>
      <c r="C168" s="69">
        <f t="shared" ref="C168" si="61">SUM(C171:C171)</f>
        <v>0</v>
      </c>
      <c r="D168" s="69"/>
      <c r="E168" s="69">
        <v>0</v>
      </c>
    </row>
    <row r="169" spans="1:6" ht="9.75" hidden="1" customHeight="1">
      <c r="A169" s="5" t="s">
        <v>4</v>
      </c>
      <c r="B169" s="39"/>
      <c r="C169" s="8"/>
      <c r="D169" s="78"/>
      <c r="E169" s="50"/>
    </row>
    <row r="170" spans="1:6" ht="12.75" hidden="1" customHeight="1">
      <c r="A170" s="7" t="s">
        <v>111</v>
      </c>
      <c r="B170" s="39"/>
      <c r="C170" s="8"/>
      <c r="D170" s="78"/>
      <c r="E170" s="50"/>
    </row>
    <row r="171" spans="1:6" ht="12.75" hidden="1" customHeight="1">
      <c r="A171" s="14" t="s">
        <v>32</v>
      </c>
      <c r="B171" s="18"/>
      <c r="C171" s="15"/>
      <c r="D171" s="79"/>
      <c r="E171" s="53"/>
    </row>
    <row r="172" spans="1:6" ht="21.95" customHeight="1">
      <c r="A172" s="44" t="s">
        <v>163</v>
      </c>
      <c r="B172" s="45">
        <f t="shared" ref="B172:C172" si="62">B173+B178</f>
        <v>14624</v>
      </c>
      <c r="C172" s="45">
        <f t="shared" si="62"/>
        <v>55500</v>
      </c>
      <c r="D172" s="45"/>
      <c r="E172" s="45">
        <f t="shared" ref="E172" si="63">E173+E178</f>
        <v>64191.6</v>
      </c>
      <c r="F172" t="s">
        <v>165</v>
      </c>
    </row>
    <row r="173" spans="1:6" ht="12.75" customHeight="1">
      <c r="A173" s="11" t="s">
        <v>19</v>
      </c>
      <c r="B173" s="12">
        <f>SUM(B175:B177)</f>
        <v>14624</v>
      </c>
      <c r="C173" s="12">
        <f>SUM(C175:C177)-C176</f>
        <v>55500</v>
      </c>
      <c r="D173" s="12"/>
      <c r="E173" s="12">
        <f>SUM(E175:E177)-E176</f>
        <v>59191.6</v>
      </c>
    </row>
    <row r="174" spans="1:6" ht="11.1" customHeight="1">
      <c r="A174" s="5" t="s">
        <v>13</v>
      </c>
      <c r="B174" s="13"/>
      <c r="C174" s="13"/>
      <c r="D174" s="77"/>
      <c r="E174" s="50"/>
    </row>
    <row r="175" spans="1:6" ht="12.75" customHeight="1">
      <c r="A175" s="7" t="s">
        <v>22</v>
      </c>
      <c r="B175" s="8">
        <v>14624</v>
      </c>
      <c r="C175" s="8">
        <f>13000-2500</f>
        <v>10500</v>
      </c>
      <c r="D175" s="8"/>
      <c r="E175" s="8">
        <f>14336.6-3645+1500</f>
        <v>12191.6</v>
      </c>
    </row>
    <row r="176" spans="1:6" ht="12.75" hidden="1" customHeight="1">
      <c r="A176" s="7" t="s">
        <v>133</v>
      </c>
      <c r="B176" s="8"/>
      <c r="C176" s="64">
        <v>4836.6000000000004</v>
      </c>
      <c r="D176" s="80"/>
      <c r="E176" s="49"/>
    </row>
    <row r="177" spans="1:5" ht="12.75" customHeight="1">
      <c r="A177" s="7" t="s">
        <v>150</v>
      </c>
      <c r="B177" s="8"/>
      <c r="C177" s="8">
        <v>45000</v>
      </c>
      <c r="D177" s="8"/>
      <c r="E177" s="8">
        <v>47000</v>
      </c>
    </row>
    <row r="178" spans="1:5" ht="12.75" customHeight="1">
      <c r="A178" s="11" t="s">
        <v>24</v>
      </c>
      <c r="B178" s="12">
        <f>SUM(B180:B182)</f>
        <v>0</v>
      </c>
      <c r="C178" s="12">
        <v>0</v>
      </c>
      <c r="D178" s="12"/>
      <c r="E178" s="12">
        <f>E180</f>
        <v>5000</v>
      </c>
    </row>
    <row r="179" spans="1:5" ht="9" customHeight="1">
      <c r="A179" s="5" t="s">
        <v>13</v>
      </c>
      <c r="B179" s="8"/>
      <c r="C179" s="16"/>
      <c r="D179" s="81"/>
      <c r="E179" s="54"/>
    </row>
    <row r="180" spans="1:5" ht="12.75" customHeight="1">
      <c r="A180" s="14" t="s">
        <v>180</v>
      </c>
      <c r="B180" s="15"/>
      <c r="C180" s="66"/>
      <c r="D180" s="84"/>
      <c r="E180" s="55">
        <v>5000</v>
      </c>
    </row>
    <row r="181" spans="1:5" ht="12.75" hidden="1" customHeight="1">
      <c r="A181" s="7" t="s">
        <v>92</v>
      </c>
      <c r="B181" s="8"/>
      <c r="C181" s="16"/>
      <c r="D181" s="81"/>
      <c r="E181" s="54"/>
    </row>
    <row r="182" spans="1:5" ht="12.75" hidden="1" customHeight="1">
      <c r="A182" s="7" t="s">
        <v>104</v>
      </c>
      <c r="B182" s="8"/>
      <c r="C182" s="16"/>
      <c r="D182" s="81"/>
      <c r="E182" s="54"/>
    </row>
    <row r="183" spans="1:5" ht="24.95" customHeight="1">
      <c r="A183" s="44" t="s">
        <v>51</v>
      </c>
      <c r="B183" s="45">
        <f t="shared" ref="B183:C183" si="64">B184+B187</f>
        <v>5263.4</v>
      </c>
      <c r="C183" s="45">
        <f t="shared" si="64"/>
        <v>2105.5</v>
      </c>
      <c r="D183" s="45"/>
      <c r="E183" s="45">
        <f t="shared" ref="E183" si="65">E184+E187</f>
        <v>2042.3</v>
      </c>
    </row>
    <row r="184" spans="1:5" ht="15" customHeight="1">
      <c r="A184" s="11" t="s">
        <v>19</v>
      </c>
      <c r="B184" s="12">
        <f t="shared" ref="B184:C184" si="66">B186</f>
        <v>5263.4</v>
      </c>
      <c r="C184" s="12">
        <f t="shared" si="66"/>
        <v>2105.5</v>
      </c>
      <c r="D184" s="12"/>
      <c r="E184" s="12">
        <f t="shared" ref="E184" si="67">E186</f>
        <v>2042.3</v>
      </c>
    </row>
    <row r="185" spans="1:5" ht="11.1" customHeight="1">
      <c r="A185" s="5" t="s">
        <v>13</v>
      </c>
      <c r="B185" s="13"/>
      <c r="C185" s="13"/>
      <c r="D185" s="77"/>
      <c r="E185" s="50"/>
    </row>
    <row r="186" spans="1:5" ht="12.75" customHeight="1">
      <c r="A186" s="7" t="s">
        <v>44</v>
      </c>
      <c r="B186" s="8">
        <v>5263.4</v>
      </c>
      <c r="C186" s="8">
        <v>2105.5</v>
      </c>
      <c r="D186" s="8"/>
      <c r="E186" s="8">
        <v>2042.3</v>
      </c>
    </row>
    <row r="187" spans="1:5" ht="12" customHeight="1">
      <c r="A187" s="68" t="s">
        <v>24</v>
      </c>
      <c r="B187" s="69">
        <f t="shared" ref="B187:C187" si="68">B189</f>
        <v>0</v>
      </c>
      <c r="C187" s="69">
        <f t="shared" si="68"/>
        <v>0</v>
      </c>
      <c r="D187" s="69"/>
      <c r="E187" s="70">
        <v>0</v>
      </c>
    </row>
    <row r="188" spans="1:5" ht="11.1" hidden="1" customHeight="1">
      <c r="A188" s="5" t="s">
        <v>13</v>
      </c>
      <c r="B188" s="16"/>
      <c r="C188" s="16"/>
      <c r="D188" s="81"/>
      <c r="E188" s="54"/>
    </row>
    <row r="189" spans="1:5" ht="12.75" hidden="1" customHeight="1">
      <c r="A189" s="14" t="s">
        <v>32</v>
      </c>
      <c r="B189" s="15"/>
      <c r="C189" s="15"/>
      <c r="D189" s="79"/>
      <c r="E189" s="53"/>
    </row>
    <row r="190" spans="1:5" ht="18.95" customHeight="1">
      <c r="A190" s="44" t="s">
        <v>52</v>
      </c>
      <c r="B190" s="45">
        <f t="shared" ref="B190:C190" si="69">B191</f>
        <v>88831.5</v>
      </c>
      <c r="C190" s="45">
        <f t="shared" si="69"/>
        <v>107449.1</v>
      </c>
      <c r="D190" s="45"/>
      <c r="E190" s="51">
        <f>E191+E196</f>
        <v>84618</v>
      </c>
    </row>
    <row r="191" spans="1:5" ht="15" customHeight="1">
      <c r="A191" s="11" t="s">
        <v>19</v>
      </c>
      <c r="B191" s="12">
        <f>SUM(B193:B195)</f>
        <v>88831.5</v>
      </c>
      <c r="C191" s="12">
        <f>SUM(C193:C195)</f>
        <v>107449.1</v>
      </c>
      <c r="D191" s="12"/>
      <c r="E191" s="52">
        <f>SUM(E193:E195)</f>
        <v>84618</v>
      </c>
    </row>
    <row r="192" spans="1:5" ht="11.1" customHeight="1">
      <c r="A192" s="5" t="s">
        <v>13</v>
      </c>
      <c r="B192" s="39"/>
      <c r="C192" s="13"/>
      <c r="D192" s="77"/>
      <c r="E192" s="50"/>
    </row>
    <row r="193" spans="1:5" ht="12.75" customHeight="1">
      <c r="A193" s="7" t="s">
        <v>178</v>
      </c>
      <c r="B193" s="8">
        <f>50000+4000+953-15650-200-1520-16174.1-600</f>
        <v>20808.900000000001</v>
      </c>
      <c r="C193" s="8">
        <f>80000-29000</f>
        <v>51000</v>
      </c>
      <c r="D193" s="8"/>
      <c r="E193" s="8">
        <v>5000</v>
      </c>
    </row>
    <row r="194" spans="1:5" ht="12.75" customHeight="1">
      <c r="A194" s="7" t="s">
        <v>179</v>
      </c>
      <c r="B194" s="8"/>
      <c r="C194" s="8"/>
      <c r="D194" s="8"/>
      <c r="E194" s="8">
        <v>25000</v>
      </c>
    </row>
    <row r="195" spans="1:5" ht="12.75" customHeight="1">
      <c r="A195" s="14" t="s">
        <v>154</v>
      </c>
      <c r="B195" s="15">
        <f>70000-2077.4+100</f>
        <v>68022.600000000006</v>
      </c>
      <c r="C195" s="15">
        <f>65000-12518.5+4000+2381.3-413.7-2000</f>
        <v>56449.100000000006</v>
      </c>
      <c r="D195" s="15"/>
      <c r="E195" s="15">
        <f>65000-12518.5+4000+2381.3-413.7-2000-719.1+300+155.2-196-49-702.5+543.6-167.6-0.5-277.1-718.1</f>
        <v>54618.000000000007</v>
      </c>
    </row>
    <row r="196" spans="1:5" ht="12.75" hidden="1" customHeight="1">
      <c r="A196" s="11" t="s">
        <v>24</v>
      </c>
      <c r="B196" s="52">
        <f t="shared" ref="B196:C196" si="70">B198</f>
        <v>0</v>
      </c>
      <c r="C196" s="52">
        <f t="shared" si="70"/>
        <v>0</v>
      </c>
      <c r="D196" s="52"/>
      <c r="E196" s="52">
        <f t="shared" ref="E196" si="71">E198</f>
        <v>0</v>
      </c>
    </row>
    <row r="197" spans="1:5" ht="8.25" hidden="1" customHeight="1">
      <c r="A197" s="5" t="s">
        <v>13</v>
      </c>
      <c r="B197" s="8"/>
      <c r="C197" s="16"/>
      <c r="D197" s="81"/>
      <c r="E197" s="54"/>
    </row>
    <row r="198" spans="1:5" ht="12.75" hidden="1" customHeight="1">
      <c r="A198" s="14" t="s">
        <v>151</v>
      </c>
      <c r="B198" s="15">
        <v>0</v>
      </c>
      <c r="C198" s="15">
        <v>0</v>
      </c>
      <c r="D198" s="15"/>
      <c r="E198" s="15"/>
    </row>
    <row r="199" spans="1:5" ht="18.75" customHeight="1">
      <c r="A199" s="44" t="s">
        <v>123</v>
      </c>
      <c r="B199" s="45">
        <f>B200+B211</f>
        <v>69140.600000000006</v>
      </c>
      <c r="C199" s="45">
        <f t="shared" ref="C199" si="72">C200+C211</f>
        <v>41644.399999999994</v>
      </c>
      <c r="D199" s="45"/>
      <c r="E199" s="51">
        <f t="shared" ref="E199" si="73">E200+E211</f>
        <v>62993.2</v>
      </c>
    </row>
    <row r="200" spans="1:5" ht="12.75" customHeight="1">
      <c r="A200" s="11" t="s">
        <v>19</v>
      </c>
      <c r="B200" s="12">
        <f t="shared" ref="B200:C200" si="74">SUM(B202:B210)</f>
        <v>52140.6</v>
      </c>
      <c r="C200" s="12">
        <f t="shared" si="74"/>
        <v>34644.399999999994</v>
      </c>
      <c r="D200" s="12"/>
      <c r="E200" s="12">
        <f t="shared" ref="E200" si="75">SUM(E202:E210)</f>
        <v>45993.2</v>
      </c>
    </row>
    <row r="201" spans="1:5" ht="12.75" customHeight="1">
      <c r="A201" s="7" t="s">
        <v>159</v>
      </c>
      <c r="B201" s="8"/>
      <c r="C201" s="8"/>
      <c r="D201" s="78"/>
      <c r="E201" s="23"/>
    </row>
    <row r="202" spans="1:5" ht="12.75" customHeight="1">
      <c r="A202" s="7" t="s">
        <v>141</v>
      </c>
      <c r="B202" s="23">
        <v>5248.6</v>
      </c>
      <c r="C202" s="23">
        <v>5248.6</v>
      </c>
      <c r="D202" s="23"/>
      <c r="E202" s="23">
        <v>5248.6</v>
      </c>
    </row>
    <row r="203" spans="1:5" ht="12.75" customHeight="1">
      <c r="A203" s="7" t="s">
        <v>175</v>
      </c>
      <c r="B203" s="23"/>
      <c r="C203" s="23"/>
      <c r="D203" s="23"/>
      <c r="E203" s="23">
        <v>3000</v>
      </c>
    </row>
    <row r="204" spans="1:5" ht="12.75" customHeight="1">
      <c r="A204" s="7" t="s">
        <v>176</v>
      </c>
      <c r="B204" s="23">
        <v>4496.2</v>
      </c>
      <c r="C204" s="23"/>
      <c r="D204" s="23"/>
      <c r="E204" s="23">
        <f>4800+2000-500-780</f>
        <v>5520</v>
      </c>
    </row>
    <row r="205" spans="1:5" ht="12.75" customHeight="1">
      <c r="A205" s="7" t="s">
        <v>177</v>
      </c>
      <c r="B205" s="23">
        <v>4496.2</v>
      </c>
      <c r="C205" s="23">
        <v>4496.2</v>
      </c>
      <c r="D205" s="23"/>
      <c r="E205" s="23">
        <f>3200+480</f>
        <v>3680</v>
      </c>
    </row>
    <row r="206" spans="1:5" ht="12.75" customHeight="1">
      <c r="A206" s="7" t="s">
        <v>53</v>
      </c>
      <c r="B206" s="23">
        <v>2604</v>
      </c>
      <c r="C206" s="23">
        <v>2604</v>
      </c>
      <c r="D206" s="23"/>
      <c r="E206" s="23">
        <v>2604</v>
      </c>
    </row>
    <row r="207" spans="1:5" ht="12.75" customHeight="1">
      <c r="A207" s="7" t="s">
        <v>54</v>
      </c>
      <c r="B207" s="23">
        <v>1395.9</v>
      </c>
      <c r="C207" s="23">
        <v>1395.9</v>
      </c>
      <c r="D207" s="23"/>
      <c r="E207" s="23">
        <v>1395.9</v>
      </c>
    </row>
    <row r="208" spans="1:5" ht="12.75" customHeight="1">
      <c r="A208" s="7" t="s">
        <v>55</v>
      </c>
      <c r="B208" s="23">
        <v>9380</v>
      </c>
      <c r="C208" s="23">
        <v>9380</v>
      </c>
      <c r="D208" s="23"/>
      <c r="E208" s="23">
        <v>9380</v>
      </c>
    </row>
    <row r="209" spans="1:5" ht="12.75" customHeight="1">
      <c r="A209" s="7" t="s">
        <v>56</v>
      </c>
      <c r="B209" s="23">
        <v>6519.7</v>
      </c>
      <c r="C209" s="23">
        <v>3519.7</v>
      </c>
      <c r="D209" s="23"/>
      <c r="E209" s="23">
        <f>6519.7-3000+3645</f>
        <v>7164.7</v>
      </c>
    </row>
    <row r="210" spans="1:5" ht="12.75" customHeight="1">
      <c r="A210" s="7" t="s">
        <v>140</v>
      </c>
      <c r="B210" s="23">
        <v>18000</v>
      </c>
      <c r="C210" s="23">
        <v>8000</v>
      </c>
      <c r="D210" s="23"/>
      <c r="E210" s="23">
        <v>8000</v>
      </c>
    </row>
    <row r="211" spans="1:5" ht="12.75" customHeight="1">
      <c r="A211" s="11" t="s">
        <v>24</v>
      </c>
      <c r="B211" s="12">
        <f>B212</f>
        <v>17000</v>
      </c>
      <c r="C211" s="12">
        <f t="shared" ref="C211:E211" si="76">C212</f>
        <v>7000</v>
      </c>
      <c r="D211" s="12">
        <f t="shared" si="76"/>
        <v>0</v>
      </c>
      <c r="E211" s="12">
        <f t="shared" si="76"/>
        <v>17000</v>
      </c>
    </row>
    <row r="212" spans="1:5" ht="12.75" customHeight="1">
      <c r="A212" s="14" t="s">
        <v>160</v>
      </c>
      <c r="B212" s="73">
        <v>17000</v>
      </c>
      <c r="C212" s="73">
        <v>7000</v>
      </c>
      <c r="D212" s="73"/>
      <c r="E212" s="73">
        <v>17000</v>
      </c>
    </row>
    <row r="213" spans="1:5" ht="18" customHeight="1">
      <c r="A213" s="44" t="s">
        <v>112</v>
      </c>
      <c r="B213" s="45">
        <f t="shared" ref="B213:E213" si="77">B214</f>
        <v>2000</v>
      </c>
      <c r="C213" s="45">
        <f t="shared" si="77"/>
        <v>3000</v>
      </c>
      <c r="D213" s="45"/>
      <c r="E213" s="51">
        <f t="shared" si="77"/>
        <v>3000</v>
      </c>
    </row>
    <row r="214" spans="1:5" ht="12.75" customHeight="1">
      <c r="A214" s="11" t="s">
        <v>19</v>
      </c>
      <c r="B214" s="12">
        <f t="shared" ref="B214:C214" si="78">B216</f>
        <v>2000</v>
      </c>
      <c r="C214" s="12">
        <f t="shared" si="78"/>
        <v>3000</v>
      </c>
      <c r="D214" s="12"/>
      <c r="E214" s="12">
        <f t="shared" ref="E214" si="79">E216</f>
        <v>3000</v>
      </c>
    </row>
    <row r="215" spans="1:5" ht="12.75" customHeight="1">
      <c r="A215" s="5" t="s">
        <v>13</v>
      </c>
      <c r="B215" s="12"/>
      <c r="C215" s="8"/>
      <c r="D215" s="78"/>
      <c r="E215" s="23"/>
    </row>
    <row r="216" spans="1:5" ht="12.75" customHeight="1">
      <c r="A216" s="14" t="s">
        <v>22</v>
      </c>
      <c r="B216" s="15">
        <v>2000</v>
      </c>
      <c r="C216" s="15">
        <v>3000</v>
      </c>
      <c r="D216" s="79"/>
      <c r="E216" s="73">
        <v>3000</v>
      </c>
    </row>
    <row r="217" spans="1:5" ht="21.75" customHeight="1">
      <c r="A217" s="44" t="s">
        <v>172</v>
      </c>
      <c r="B217" s="45">
        <f>B221+B233</f>
        <v>163541.29999999999</v>
      </c>
      <c r="C217" s="45">
        <f>C221+C233</f>
        <v>150370.29999999999</v>
      </c>
      <c r="D217" s="45"/>
      <c r="E217" s="45">
        <f>E221+E233</f>
        <v>114100</v>
      </c>
    </row>
    <row r="218" spans="1:5" ht="14.1" hidden="1" customHeight="1">
      <c r="A218" s="21" t="s">
        <v>124</v>
      </c>
      <c r="B218" s="22">
        <f t="shared" ref="B218:C218" si="80">B219+B220</f>
        <v>0</v>
      </c>
      <c r="C218" s="22">
        <f t="shared" si="80"/>
        <v>0</v>
      </c>
      <c r="D218" s="22"/>
      <c r="E218" s="56"/>
    </row>
    <row r="219" spans="1:5" ht="14.1" hidden="1" customHeight="1">
      <c r="A219" s="7" t="s">
        <v>57</v>
      </c>
      <c r="B219" s="23"/>
      <c r="C219" s="8"/>
      <c r="D219" s="8"/>
      <c r="E219" s="49"/>
    </row>
    <row r="220" spans="1:5" ht="14.1" hidden="1" customHeight="1">
      <c r="A220" s="7" t="s">
        <v>58</v>
      </c>
      <c r="B220" s="23"/>
      <c r="C220" s="8"/>
      <c r="D220" s="8"/>
      <c r="E220" s="49"/>
    </row>
    <row r="221" spans="1:5" ht="14.1" customHeight="1">
      <c r="A221" s="95" t="s">
        <v>157</v>
      </c>
      <c r="B221" s="8">
        <f t="shared" ref="B221:E221" si="81">SUM(B222:B232)</f>
        <v>18775</v>
      </c>
      <c r="C221" s="94">
        <f t="shared" si="81"/>
        <v>33050</v>
      </c>
      <c r="D221" s="94"/>
      <c r="E221" s="94">
        <f t="shared" si="81"/>
        <v>28175</v>
      </c>
    </row>
    <row r="222" spans="1:5" ht="14.1" customHeight="1">
      <c r="A222" s="7" t="s">
        <v>59</v>
      </c>
      <c r="B222" s="8">
        <v>17150</v>
      </c>
      <c r="C222" s="8">
        <f>35900-2000-1000</f>
        <v>32900</v>
      </c>
      <c r="D222" s="8"/>
      <c r="E222" s="8">
        <v>28175</v>
      </c>
    </row>
    <row r="223" spans="1:5" ht="14.1" customHeight="1">
      <c r="A223" s="7" t="s">
        <v>125</v>
      </c>
      <c r="B223" s="8">
        <v>195</v>
      </c>
      <c r="C223" s="8">
        <v>150</v>
      </c>
      <c r="D223" s="8"/>
      <c r="E223" s="8"/>
    </row>
    <row r="224" spans="1:5" ht="14.1" hidden="1" customHeight="1">
      <c r="A224" s="7" t="s">
        <v>105</v>
      </c>
      <c r="B224" s="8"/>
      <c r="C224" s="8"/>
      <c r="D224" s="8"/>
      <c r="E224" s="8"/>
    </row>
    <row r="225" spans="1:5" ht="14.1" hidden="1" customHeight="1">
      <c r="A225" s="7" t="s">
        <v>60</v>
      </c>
      <c r="B225" s="8"/>
      <c r="C225" s="8"/>
      <c r="D225" s="8"/>
      <c r="E225" s="8"/>
    </row>
    <row r="226" spans="1:5" ht="14.1" hidden="1" customHeight="1">
      <c r="A226" s="7" t="s">
        <v>97</v>
      </c>
      <c r="B226" s="8"/>
      <c r="C226" s="8"/>
      <c r="D226" s="8"/>
      <c r="E226" s="8"/>
    </row>
    <row r="227" spans="1:5" ht="14.1" hidden="1" customHeight="1">
      <c r="A227" s="7" t="s">
        <v>106</v>
      </c>
      <c r="B227" s="8"/>
      <c r="C227" s="8"/>
      <c r="D227" s="8"/>
      <c r="E227" s="8"/>
    </row>
    <row r="228" spans="1:5" ht="14.1" hidden="1" customHeight="1">
      <c r="A228" s="7" t="s">
        <v>61</v>
      </c>
      <c r="B228" s="8"/>
      <c r="C228" s="8"/>
      <c r="D228" s="8"/>
      <c r="E228" s="8"/>
    </row>
    <row r="229" spans="1:5" ht="14.1" hidden="1" customHeight="1">
      <c r="A229" s="7" t="s">
        <v>107</v>
      </c>
      <c r="B229" s="8">
        <v>140</v>
      </c>
      <c r="C229" s="8"/>
      <c r="D229" s="8"/>
      <c r="E229" s="8"/>
    </row>
    <row r="230" spans="1:5" ht="14.1" hidden="1" customHeight="1">
      <c r="A230" s="7" t="s">
        <v>98</v>
      </c>
      <c r="B230" s="8"/>
      <c r="C230" s="8"/>
      <c r="D230" s="8"/>
      <c r="E230" s="8"/>
    </row>
    <row r="231" spans="1:5" ht="14.1" hidden="1" customHeight="1">
      <c r="A231" s="7" t="s">
        <v>108</v>
      </c>
      <c r="B231" s="8"/>
      <c r="C231" s="8"/>
      <c r="D231" s="8"/>
      <c r="E231" s="8"/>
    </row>
    <row r="232" spans="1:5" ht="14.1" hidden="1" customHeight="1">
      <c r="A232" s="7" t="s">
        <v>99</v>
      </c>
      <c r="B232" s="8">
        <v>1290</v>
      </c>
      <c r="C232" s="8"/>
      <c r="D232" s="8"/>
      <c r="E232" s="8"/>
    </row>
    <row r="233" spans="1:5" ht="14.1" customHeight="1">
      <c r="A233" s="95" t="s">
        <v>161</v>
      </c>
      <c r="B233" s="8">
        <f t="shared" ref="B233:E233" si="82">SUM(B234:B243)</f>
        <v>144766.29999999999</v>
      </c>
      <c r="C233" s="94">
        <f t="shared" si="82"/>
        <v>117320.3</v>
      </c>
      <c r="D233" s="94"/>
      <c r="E233" s="94">
        <f t="shared" si="82"/>
        <v>85925</v>
      </c>
    </row>
    <row r="234" spans="1:5" ht="14.1" customHeight="1">
      <c r="A234" s="7" t="s">
        <v>59</v>
      </c>
      <c r="B234" s="8">
        <v>65286.3</v>
      </c>
      <c r="C234" s="8">
        <v>36846.300000000003</v>
      </c>
      <c r="D234" s="8"/>
      <c r="E234" s="8">
        <f>18000+3000+10000+1000+2125</f>
        <v>34125</v>
      </c>
    </row>
    <row r="235" spans="1:5" ht="14.1" customHeight="1">
      <c r="A235" s="7" t="s">
        <v>125</v>
      </c>
      <c r="B235" s="8"/>
      <c r="C235" s="8"/>
      <c r="D235" s="8"/>
      <c r="E235" s="8">
        <v>4000</v>
      </c>
    </row>
    <row r="236" spans="1:5" ht="14.1" hidden="1" customHeight="1">
      <c r="A236" s="7" t="s">
        <v>105</v>
      </c>
      <c r="B236" s="8">
        <v>600</v>
      </c>
      <c r="C236" s="8"/>
      <c r="D236" s="8"/>
      <c r="E236" s="8"/>
    </row>
    <row r="237" spans="1:5" ht="14.1" hidden="1" customHeight="1">
      <c r="A237" s="7" t="s">
        <v>106</v>
      </c>
      <c r="B237" s="8"/>
      <c r="C237" s="8"/>
      <c r="D237" s="8"/>
      <c r="E237" s="8"/>
    </row>
    <row r="238" spans="1:5" ht="14.1" customHeight="1">
      <c r="A238" s="7" t="s">
        <v>98</v>
      </c>
      <c r="B238" s="8">
        <v>30</v>
      </c>
      <c r="C238" s="8"/>
      <c r="D238" s="8"/>
      <c r="E238" s="8">
        <v>25000</v>
      </c>
    </row>
    <row r="239" spans="1:5" ht="14.1" customHeight="1">
      <c r="A239" s="7" t="s">
        <v>60</v>
      </c>
      <c r="B239" s="8">
        <v>67500</v>
      </c>
      <c r="C239" s="8">
        <v>58450</v>
      </c>
      <c r="D239" s="8"/>
      <c r="E239" s="8">
        <v>20000</v>
      </c>
    </row>
    <row r="240" spans="1:5" ht="14.1" hidden="1" customHeight="1">
      <c r="A240" s="7" t="s">
        <v>107</v>
      </c>
      <c r="B240" s="8"/>
      <c r="C240" s="8"/>
      <c r="D240" s="8"/>
      <c r="E240" s="8"/>
    </row>
    <row r="241" spans="1:5" ht="14.1" customHeight="1">
      <c r="A241" s="7" t="s">
        <v>108</v>
      </c>
      <c r="B241" s="8"/>
      <c r="C241" s="8">
        <v>1834</v>
      </c>
      <c r="D241" s="8"/>
      <c r="E241" s="8">
        <v>300</v>
      </c>
    </row>
    <row r="242" spans="1:5" ht="14.1" customHeight="1">
      <c r="A242" s="14" t="s">
        <v>61</v>
      </c>
      <c r="B242" s="15">
        <v>11350</v>
      </c>
      <c r="C242" s="15">
        <v>20190</v>
      </c>
      <c r="D242" s="15"/>
      <c r="E242" s="15">
        <v>2500</v>
      </c>
    </row>
    <row r="243" spans="1:5" ht="14.1" hidden="1" customHeight="1">
      <c r="A243" s="14" t="s">
        <v>99</v>
      </c>
      <c r="B243" s="15"/>
      <c r="C243" s="15"/>
      <c r="D243" s="79"/>
      <c r="E243" s="53"/>
    </row>
    <row r="244" spans="1:5" ht="20.100000000000001" customHeight="1">
      <c r="A244" s="44" t="s">
        <v>126</v>
      </c>
      <c r="B244" s="45">
        <f>B249+B252+B257+B263+B267+B273+B281+B286+B292+B255</f>
        <v>162000</v>
      </c>
      <c r="C244" s="45">
        <f>C249+C252+C257+C263+C267+C273+C281+C286+C292+C255</f>
        <v>157000</v>
      </c>
      <c r="D244" s="45"/>
      <c r="E244" s="45">
        <f>E249+E252+E257+E263+E267+E273+E281+E286+E292+E255</f>
        <v>108000</v>
      </c>
    </row>
    <row r="245" spans="1:5" ht="11.1" customHeight="1">
      <c r="A245" s="7" t="s">
        <v>13</v>
      </c>
      <c r="B245" s="6"/>
      <c r="C245" s="6"/>
      <c r="D245" s="6"/>
      <c r="E245" s="6"/>
    </row>
    <row r="246" spans="1:5" ht="12.75" customHeight="1">
      <c r="A246" s="9" t="s">
        <v>19</v>
      </c>
      <c r="B246" s="6">
        <f>B264+B269+B276+B279+B283+B288+B297+B278+B290+B292</f>
        <v>15417</v>
      </c>
      <c r="C246" s="6">
        <f>C264+C269+C276+C279+C283+C288+C297+C278+C290+C293+C271+C294</f>
        <v>18450</v>
      </c>
      <c r="D246" s="6"/>
      <c r="E246" s="6">
        <f>E264+E269+E276+E279+E283+E288+E297+E278+E290+E293+E271+E294</f>
        <v>13785.5</v>
      </c>
    </row>
    <row r="247" spans="1:5" ht="12.75" customHeight="1">
      <c r="A247" s="9" t="s">
        <v>24</v>
      </c>
      <c r="B247" s="6">
        <f>B250+B251+B253+B254+B258+B259+B260+B262+B265+B266+B268+B270+B272+B274+B275+B280+B282+B284+B285+B287+B289+B291+B277+B256</f>
        <v>146583</v>
      </c>
      <c r="C247" s="6">
        <f>C249+C252+C257+C261+C263+C267+C273+C281+C286-C246+C292</f>
        <v>138550</v>
      </c>
      <c r="D247" s="6"/>
      <c r="E247" s="6">
        <f>E249+E252+E257+E261+E263+E267+E273+E281+E286-E246+E292</f>
        <v>94214.5</v>
      </c>
    </row>
    <row r="248" spans="1:5" ht="12.75" customHeight="1">
      <c r="A248" s="5" t="s">
        <v>62</v>
      </c>
      <c r="B248" s="8"/>
      <c r="C248" s="8"/>
      <c r="D248" s="78"/>
      <c r="E248" s="49"/>
    </row>
    <row r="249" spans="1:5" ht="12.75" customHeight="1">
      <c r="A249" s="21" t="s">
        <v>63</v>
      </c>
      <c r="B249" s="22">
        <f t="shared" ref="B249" si="83">B250+B251</f>
        <v>0</v>
      </c>
      <c r="C249" s="22">
        <v>1000</v>
      </c>
      <c r="D249" s="22"/>
      <c r="E249" s="56">
        <v>2000</v>
      </c>
    </row>
    <row r="250" spans="1:5" ht="12.75" customHeight="1">
      <c r="A250" s="7" t="s">
        <v>64</v>
      </c>
      <c r="B250" s="8"/>
      <c r="C250" s="8"/>
      <c r="D250" s="78"/>
      <c r="E250" s="49">
        <v>2000</v>
      </c>
    </row>
    <row r="251" spans="1:5" ht="12.75" customHeight="1">
      <c r="A251" s="7" t="s">
        <v>65</v>
      </c>
      <c r="B251" s="8"/>
      <c r="C251" s="8">
        <v>1000</v>
      </c>
      <c r="D251" s="78"/>
      <c r="E251" s="49"/>
    </row>
    <row r="252" spans="1:5" ht="12.75" customHeight="1">
      <c r="A252" s="21" t="s">
        <v>66</v>
      </c>
      <c r="B252" s="22">
        <f t="shared" ref="B252" si="84">B253+B254</f>
        <v>2000</v>
      </c>
      <c r="C252" s="22">
        <v>2260</v>
      </c>
      <c r="D252" s="22"/>
      <c r="E252" s="22">
        <v>560</v>
      </c>
    </row>
    <row r="253" spans="1:5" ht="12.75" customHeight="1">
      <c r="A253" s="7" t="s">
        <v>64</v>
      </c>
      <c r="B253" s="8">
        <v>1700</v>
      </c>
      <c r="C253" s="8">
        <v>2260</v>
      </c>
      <c r="D253" s="78"/>
      <c r="E253" s="8">
        <v>560</v>
      </c>
    </row>
    <row r="254" spans="1:5" ht="12.75" hidden="1" customHeight="1">
      <c r="A254" s="7" t="s">
        <v>65</v>
      </c>
      <c r="B254" s="8">
        <v>300</v>
      </c>
      <c r="C254" s="8"/>
      <c r="D254" s="78"/>
      <c r="E254" s="49"/>
    </row>
    <row r="255" spans="1:5" ht="12.75" hidden="1" customHeight="1">
      <c r="A255" s="21" t="s">
        <v>119</v>
      </c>
      <c r="B255" s="22">
        <v>4000</v>
      </c>
      <c r="C255" s="8"/>
      <c r="D255" s="78"/>
      <c r="E255" s="49"/>
    </row>
    <row r="256" spans="1:5" ht="12.75" hidden="1" customHeight="1">
      <c r="A256" s="7" t="s">
        <v>120</v>
      </c>
      <c r="B256" s="8">
        <v>4000</v>
      </c>
      <c r="C256" s="8"/>
      <c r="D256" s="78"/>
      <c r="E256" s="49"/>
    </row>
    <row r="257" spans="1:5" ht="12.75" customHeight="1">
      <c r="A257" s="21" t="s">
        <v>67</v>
      </c>
      <c r="B257" s="22">
        <f t="shared" ref="B257" si="85">B258+B259+B260</f>
        <v>40000</v>
      </c>
      <c r="C257" s="22">
        <v>40000</v>
      </c>
      <c r="D257" s="22"/>
      <c r="E257" s="56">
        <v>17000</v>
      </c>
    </row>
    <row r="258" spans="1:5" ht="12.75" customHeight="1">
      <c r="A258" s="7" t="s">
        <v>68</v>
      </c>
      <c r="B258" s="8">
        <v>15000</v>
      </c>
      <c r="C258" s="8">
        <v>15000</v>
      </c>
      <c r="D258" s="78"/>
      <c r="E258" s="49">
        <v>5000</v>
      </c>
    </row>
    <row r="259" spans="1:5" ht="12.75" customHeight="1">
      <c r="A259" s="7" t="s">
        <v>69</v>
      </c>
      <c r="B259" s="8">
        <v>20000</v>
      </c>
      <c r="C259" s="8">
        <v>21000</v>
      </c>
      <c r="D259" s="78"/>
      <c r="E259" s="49">
        <v>10000</v>
      </c>
    </row>
    <row r="260" spans="1:5" ht="12.75" customHeight="1">
      <c r="A260" s="7" t="s">
        <v>65</v>
      </c>
      <c r="B260" s="8">
        <v>5000</v>
      </c>
      <c r="C260" s="8">
        <v>4000</v>
      </c>
      <c r="D260" s="78"/>
      <c r="E260" s="49">
        <v>2000</v>
      </c>
    </row>
    <row r="261" spans="1:5" ht="12.75" hidden="1" customHeight="1">
      <c r="A261" s="21" t="s">
        <v>70</v>
      </c>
      <c r="B261" s="22">
        <f t="shared" ref="B261:C261" si="86">B262</f>
        <v>0</v>
      </c>
      <c r="C261" s="22">
        <f t="shared" si="86"/>
        <v>0</v>
      </c>
      <c r="D261" s="22"/>
      <c r="E261" s="56"/>
    </row>
    <row r="262" spans="1:5" ht="12.75" hidden="1" customHeight="1">
      <c r="A262" s="7" t="s">
        <v>64</v>
      </c>
      <c r="B262" s="8"/>
      <c r="C262" s="8"/>
      <c r="D262" s="78"/>
      <c r="E262" s="49"/>
    </row>
    <row r="263" spans="1:5" ht="12.75" customHeight="1">
      <c r="A263" s="21" t="s">
        <v>71</v>
      </c>
      <c r="B263" s="22">
        <v>1000</v>
      </c>
      <c r="C263" s="22">
        <v>1000</v>
      </c>
      <c r="D263" s="22"/>
      <c r="E263" s="56">
        <v>2600.5</v>
      </c>
    </row>
    <row r="264" spans="1:5" ht="12.75" customHeight="1">
      <c r="A264" s="7" t="s">
        <v>72</v>
      </c>
      <c r="B264" s="8"/>
      <c r="C264" s="8">
        <v>1000</v>
      </c>
      <c r="D264" s="78"/>
      <c r="E264" s="49">
        <v>2600.5</v>
      </c>
    </row>
    <row r="265" spans="1:5" ht="12.75" hidden="1" customHeight="1">
      <c r="A265" s="7" t="s">
        <v>69</v>
      </c>
      <c r="B265" s="8"/>
      <c r="C265" s="8"/>
      <c r="D265" s="78"/>
      <c r="E265" s="49"/>
    </row>
    <row r="266" spans="1:5" ht="12.75" hidden="1" customHeight="1">
      <c r="A266" s="7" t="s">
        <v>65</v>
      </c>
      <c r="B266" s="8">
        <v>1000</v>
      </c>
      <c r="C266" s="8"/>
      <c r="D266" s="78"/>
      <c r="E266" s="49"/>
    </row>
    <row r="267" spans="1:5" ht="12.75" customHeight="1">
      <c r="A267" s="21" t="s">
        <v>73</v>
      </c>
      <c r="B267" s="22">
        <f t="shared" ref="B267:C267" si="87">SUM(B268:B272)</f>
        <v>30000</v>
      </c>
      <c r="C267" s="22">
        <f t="shared" si="87"/>
        <v>30000</v>
      </c>
      <c r="D267" s="22"/>
      <c r="E267" s="56">
        <f>22800+3000</f>
        <v>25800</v>
      </c>
    </row>
    <row r="268" spans="1:5" ht="12.75" customHeight="1">
      <c r="A268" s="7" t="s">
        <v>74</v>
      </c>
      <c r="B268" s="8">
        <v>19100</v>
      </c>
      <c r="C268" s="8">
        <v>13500</v>
      </c>
      <c r="D268" s="78"/>
      <c r="E268" s="49">
        <v>19200</v>
      </c>
    </row>
    <row r="269" spans="1:5" ht="12.75" customHeight="1">
      <c r="A269" s="7" t="s">
        <v>81</v>
      </c>
      <c r="B269" s="8">
        <v>6900</v>
      </c>
      <c r="C269" s="8">
        <v>10000</v>
      </c>
      <c r="D269" s="78"/>
      <c r="E269" s="49">
        <v>6600</v>
      </c>
    </row>
    <row r="270" spans="1:5" ht="12.75" customHeight="1">
      <c r="A270" s="7" t="s">
        <v>75</v>
      </c>
      <c r="B270" s="8"/>
      <c r="C270" s="8">
        <v>3500</v>
      </c>
      <c r="D270" s="78"/>
      <c r="E270" s="49"/>
    </row>
    <row r="271" spans="1:5" ht="12.75" hidden="1" customHeight="1">
      <c r="A271" s="7" t="s">
        <v>78</v>
      </c>
      <c r="B271" s="8"/>
      <c r="C271" s="8"/>
      <c r="D271" s="78"/>
      <c r="E271" s="49"/>
    </row>
    <row r="272" spans="1:5" ht="12.75" customHeight="1">
      <c r="A272" s="7" t="s">
        <v>65</v>
      </c>
      <c r="B272" s="8">
        <v>4000</v>
      </c>
      <c r="C272" s="8">
        <v>3000</v>
      </c>
      <c r="D272" s="78"/>
      <c r="E272" s="49"/>
    </row>
    <row r="273" spans="1:5" ht="12.75" customHeight="1">
      <c r="A273" s="21" t="s">
        <v>76</v>
      </c>
      <c r="B273" s="22">
        <f t="shared" ref="B273" si="88">B274+B275+B276+B277+B278+B279+B280</f>
        <v>70000</v>
      </c>
      <c r="C273" s="22">
        <f>C274+C275+C276+C277+C278+C279+C280</f>
        <v>65000</v>
      </c>
      <c r="D273" s="22"/>
      <c r="E273" s="22">
        <f>E274+E275+E276+E277+E278+E279+E280</f>
        <v>40539.5</v>
      </c>
    </row>
    <row r="274" spans="1:5" ht="12.75" customHeight="1">
      <c r="A274" s="7" t="s">
        <v>64</v>
      </c>
      <c r="B274" s="8">
        <v>55700</v>
      </c>
      <c r="C274" s="8">
        <v>5700</v>
      </c>
      <c r="D274" s="78"/>
      <c r="E274" s="49">
        <v>13680</v>
      </c>
    </row>
    <row r="275" spans="1:5" ht="12.75" customHeight="1">
      <c r="A275" s="7" t="s">
        <v>77</v>
      </c>
      <c r="B275" s="8">
        <v>500</v>
      </c>
      <c r="C275" s="8">
        <v>36600</v>
      </c>
      <c r="D275" s="78"/>
      <c r="E275" s="49">
        <v>20210</v>
      </c>
    </row>
    <row r="276" spans="1:5" ht="12.75" hidden="1" customHeight="1">
      <c r="A276" s="7" t="s">
        <v>100</v>
      </c>
      <c r="B276" s="8"/>
      <c r="C276" s="8"/>
      <c r="D276" s="78"/>
      <c r="E276" s="49"/>
    </row>
    <row r="277" spans="1:5" ht="12.75" customHeight="1">
      <c r="A277" s="7" t="s">
        <v>102</v>
      </c>
      <c r="B277" s="8">
        <v>283</v>
      </c>
      <c r="C277" s="8">
        <v>8250</v>
      </c>
      <c r="D277" s="78"/>
      <c r="E277" s="49"/>
    </row>
    <row r="278" spans="1:5" ht="12.75" hidden="1" customHeight="1">
      <c r="A278" s="7" t="s">
        <v>81</v>
      </c>
      <c r="B278" s="8">
        <v>4517</v>
      </c>
      <c r="C278" s="8"/>
      <c r="D278" s="78"/>
      <c r="E278" s="49"/>
    </row>
    <row r="279" spans="1:5" ht="12.75" customHeight="1">
      <c r="A279" s="7" t="s">
        <v>78</v>
      </c>
      <c r="B279" s="8"/>
      <c r="C279" s="8">
        <v>7450</v>
      </c>
      <c r="D279" s="78"/>
      <c r="E279" s="49">
        <v>4320</v>
      </c>
    </row>
    <row r="280" spans="1:5" ht="12.75" customHeight="1">
      <c r="A280" s="7" t="s">
        <v>65</v>
      </c>
      <c r="B280" s="8">
        <v>9000</v>
      </c>
      <c r="C280" s="8">
        <v>7000</v>
      </c>
      <c r="D280" s="78"/>
      <c r="E280" s="49">
        <v>2329.5</v>
      </c>
    </row>
    <row r="281" spans="1:5" ht="12.75" customHeight="1">
      <c r="A281" s="21" t="s">
        <v>79</v>
      </c>
      <c r="B281" s="22">
        <f t="shared" ref="B281:C281" si="89">B282+B283+B284+B285</f>
        <v>0</v>
      </c>
      <c r="C281" s="22">
        <f t="shared" si="89"/>
        <v>2000</v>
      </c>
      <c r="D281" s="22"/>
      <c r="E281" s="22">
        <f>E282+E283+E284+E285</f>
        <v>1500</v>
      </c>
    </row>
    <row r="282" spans="1:5" ht="12.75" customHeight="1">
      <c r="A282" s="7" t="s">
        <v>80</v>
      </c>
      <c r="B282" s="8"/>
      <c r="C282" s="8">
        <v>800</v>
      </c>
      <c r="D282" s="78"/>
      <c r="E282" s="49">
        <v>735</v>
      </c>
    </row>
    <row r="283" spans="1:5" ht="12.75" customHeight="1">
      <c r="A283" s="7" t="s">
        <v>81</v>
      </c>
      <c r="B283" s="8"/>
      <c r="C283" s="8"/>
      <c r="D283" s="78"/>
      <c r="E283" s="49">
        <v>265</v>
      </c>
    </row>
    <row r="284" spans="1:5" ht="12.75" customHeight="1">
      <c r="A284" s="7" t="s">
        <v>82</v>
      </c>
      <c r="B284" s="8"/>
      <c r="C284" s="8">
        <v>550</v>
      </c>
      <c r="D284" s="78"/>
      <c r="E284" s="49">
        <v>500</v>
      </c>
    </row>
    <row r="285" spans="1:5" ht="12.75" customHeight="1">
      <c r="A285" s="7" t="s">
        <v>65</v>
      </c>
      <c r="B285" s="8"/>
      <c r="C285" s="8">
        <v>650</v>
      </c>
      <c r="D285" s="78"/>
      <c r="E285" s="49"/>
    </row>
    <row r="286" spans="1:5" ht="12.75" customHeight="1">
      <c r="A286" s="21" t="s">
        <v>83</v>
      </c>
      <c r="B286" s="22">
        <f t="shared" ref="B286:C286" si="90">B287+B288+B289+B290+B291</f>
        <v>11000</v>
      </c>
      <c r="C286" s="22">
        <f t="shared" si="90"/>
        <v>12000</v>
      </c>
      <c r="D286" s="22"/>
      <c r="E286" s="56">
        <v>18000</v>
      </c>
    </row>
    <row r="287" spans="1:5" ht="12.75" customHeight="1">
      <c r="A287" s="7" t="s">
        <v>74</v>
      </c>
      <c r="B287" s="8">
        <v>3000</v>
      </c>
      <c r="C287" s="8"/>
      <c r="D287" s="78"/>
      <c r="E287" s="49"/>
    </row>
    <row r="288" spans="1:5" ht="12.75" hidden="1" customHeight="1">
      <c r="A288" s="7" t="s">
        <v>81</v>
      </c>
      <c r="B288" s="8"/>
      <c r="C288" s="8"/>
      <c r="D288" s="78"/>
      <c r="E288" s="49"/>
    </row>
    <row r="289" spans="1:5" ht="12.75" customHeight="1">
      <c r="A289" s="7" t="s">
        <v>82</v>
      </c>
      <c r="B289" s="8">
        <v>6300</v>
      </c>
      <c r="C289" s="8">
        <v>10800</v>
      </c>
      <c r="D289" s="78"/>
      <c r="E289" s="49">
        <v>17000</v>
      </c>
    </row>
    <row r="290" spans="1:5" ht="12.75" hidden="1" customHeight="1">
      <c r="A290" s="7" t="s">
        <v>78</v>
      </c>
      <c r="B290" s="8"/>
      <c r="C290" s="8"/>
      <c r="D290" s="78"/>
      <c r="E290" s="49"/>
    </row>
    <row r="291" spans="1:5" ht="12.75" customHeight="1">
      <c r="A291" s="7" t="s">
        <v>65</v>
      </c>
      <c r="B291" s="16">
        <v>1700</v>
      </c>
      <c r="C291" s="16">
        <v>1200</v>
      </c>
      <c r="D291" s="81"/>
      <c r="E291" s="54">
        <v>1000</v>
      </c>
    </row>
    <row r="292" spans="1:5" ht="12.75" customHeight="1" thickBot="1">
      <c r="A292" s="21" t="s">
        <v>114</v>
      </c>
      <c r="B292" s="22">
        <v>4000</v>
      </c>
      <c r="C292" s="22">
        <f>SUM(C293:C296)</f>
        <v>3740</v>
      </c>
      <c r="D292" s="85"/>
      <c r="E292" s="54"/>
    </row>
    <row r="293" spans="1:5" ht="12.75" hidden="1" customHeight="1">
      <c r="A293" s="40" t="s">
        <v>136</v>
      </c>
      <c r="B293" s="22"/>
      <c r="C293" s="41"/>
      <c r="D293" s="86"/>
      <c r="E293" s="54"/>
    </row>
    <row r="294" spans="1:5" ht="12.75" hidden="1" customHeight="1">
      <c r="A294" s="40" t="s">
        <v>134</v>
      </c>
      <c r="B294" s="22"/>
      <c r="C294" s="41"/>
      <c r="D294" s="86"/>
      <c r="E294" s="54"/>
    </row>
    <row r="295" spans="1:5" ht="12.75" hidden="1" customHeight="1">
      <c r="A295" s="40" t="s">
        <v>135</v>
      </c>
      <c r="B295" s="22"/>
      <c r="C295" s="41"/>
      <c r="D295" s="86"/>
      <c r="E295" s="54"/>
    </row>
    <row r="296" spans="1:5" ht="12.75" hidden="1" customHeight="1">
      <c r="A296" s="40" t="s">
        <v>137</v>
      </c>
      <c r="B296" s="22"/>
      <c r="C296" s="41">
        <v>3740</v>
      </c>
      <c r="D296" s="86"/>
      <c r="E296" s="54"/>
    </row>
    <row r="297" spans="1:5" ht="12.75" hidden="1" customHeight="1" thickBot="1">
      <c r="A297" s="38" t="s">
        <v>101</v>
      </c>
      <c r="B297" s="24"/>
      <c r="C297" s="16"/>
      <c r="D297" s="81"/>
      <c r="E297" s="57"/>
    </row>
    <row r="298" spans="1:5" ht="15" customHeight="1">
      <c r="A298" s="25" t="s">
        <v>84</v>
      </c>
      <c r="B298" s="26">
        <f>B27+B41+B54+B64+B72+B86+B94+B104+B115+B124+B134+B163+B173+B184+B191+B200+B219+B221+B246+B214</f>
        <v>2811973.5</v>
      </c>
      <c r="C298" s="26">
        <f>C27+C41+C54+C64+C72+C86+C94+C104+C115+C124+C134+C163+C173+C184+C191+C200+C219+C221+C246+C214+C145</f>
        <v>2812293.8</v>
      </c>
      <c r="D298" s="26"/>
      <c r="E298" s="26">
        <f>E27+E41+E54+E64+E72+E86+E94+E104+E115+E124+E134+E163+E173+E184+E191+E200+E219+E221+E246+E214+E145</f>
        <v>2835902.0000000005</v>
      </c>
    </row>
    <row r="299" spans="1:5" ht="15.75" customHeight="1" thickBot="1">
      <c r="A299" s="27" t="s">
        <v>85</v>
      </c>
      <c r="B299" s="28">
        <f>B58+B187+B99+B119+B130+B178+B109+B220+B233+B247+B36+B81+B50+B90+B140+B168</f>
        <v>370523.39999999997</v>
      </c>
      <c r="C299" s="28">
        <f>C58+C187+C99+C119+C130+C178+C109+C220+C233+C247+C36+C81+C50+C90+C140+C168+C211+C153+C68</f>
        <v>659600.69999999995</v>
      </c>
      <c r="D299" s="28">
        <f t="shared" ref="D299:E299" si="91">D58+D187+D99+D119+D130+D178+D109+D220+D233+D247+D36+D81+D50+D90+D140+D168+D211+D153+D68</f>
        <v>0</v>
      </c>
      <c r="E299" s="28">
        <f t="shared" si="91"/>
        <v>387180.4</v>
      </c>
    </row>
    <row r="300" spans="1:5" ht="21.95" customHeight="1" thickBot="1">
      <c r="A300" s="42" t="s">
        <v>86</v>
      </c>
      <c r="B300" s="43">
        <f>B26+B40+B53+B71+B85+B114+B123+B133+B162+B183+B190+B244+B103+B93+B172+B63+B217+B213+B199</f>
        <v>3199496.9</v>
      </c>
      <c r="C300" s="43">
        <f>C26+C40+C53+C71+C85+C114+C123+C133+C162+C183+C190+C244+C103+C93+C172+C63+C217+C213+C199+C144</f>
        <v>3471894.5</v>
      </c>
      <c r="D300" s="43"/>
      <c r="E300" s="43">
        <f>E26+E40+E53+E71+E85+E114+E123+E133+E162+E183+E190+E244+E103+E93+E172+E63+E217+E213+E199+E144</f>
        <v>3223082.4000000004</v>
      </c>
    </row>
    <row r="301" spans="1:5" ht="20.100000000000001" customHeight="1" thickTop="1">
      <c r="A301" s="46" t="s">
        <v>87</v>
      </c>
      <c r="B301" s="47">
        <f t="shared" ref="B301:C301" si="92">SUM(B303:B305)</f>
        <v>-100000</v>
      </c>
      <c r="C301" s="47">
        <f t="shared" si="92"/>
        <v>137500</v>
      </c>
      <c r="D301" s="47"/>
      <c r="E301" s="58">
        <f t="shared" ref="E301" si="93">SUM(E303:E305)</f>
        <v>-112500</v>
      </c>
    </row>
    <row r="302" spans="1:5" ht="9.9499999999999993" customHeight="1">
      <c r="A302" s="29" t="s">
        <v>13</v>
      </c>
      <c r="B302" s="30"/>
      <c r="C302" s="30"/>
      <c r="D302" s="30"/>
      <c r="E302" s="59"/>
    </row>
    <row r="303" spans="1:5" ht="12.75" customHeight="1">
      <c r="A303" s="29" t="s">
        <v>88</v>
      </c>
      <c r="B303" s="37">
        <v>-100000</v>
      </c>
      <c r="C303" s="23">
        <v>-162500</v>
      </c>
      <c r="D303" s="23"/>
      <c r="E303" s="23">
        <v>-162500</v>
      </c>
    </row>
    <row r="304" spans="1:5" ht="12.75" customHeight="1">
      <c r="A304" s="29" t="s">
        <v>152</v>
      </c>
      <c r="B304" s="37"/>
      <c r="C304" s="23"/>
      <c r="D304" s="23">
        <v>63000</v>
      </c>
      <c r="E304" s="23"/>
    </row>
    <row r="305" spans="1:5" ht="12.95" customHeight="1" thickBot="1">
      <c r="A305" s="31" t="s">
        <v>174</v>
      </c>
      <c r="B305" s="24"/>
      <c r="C305" s="74">
        <v>300000</v>
      </c>
      <c r="D305" s="74"/>
      <c r="E305" s="57">
        <v>50000</v>
      </c>
    </row>
    <row r="306" spans="1:5" ht="12.95" hidden="1" customHeight="1">
      <c r="A306" s="32"/>
      <c r="B306" s="33"/>
      <c r="C306" s="33"/>
      <c r="D306" s="33"/>
      <c r="E306" s="60"/>
    </row>
    <row r="307" spans="1:5" ht="12.75" hidden="1" customHeight="1">
      <c r="A307" s="67" t="s">
        <v>115</v>
      </c>
      <c r="B307" s="34">
        <f>B24-B300+B301</f>
        <v>-4496.1999999997206</v>
      </c>
      <c r="C307" s="34">
        <f>C24-C300+C301</f>
        <v>0</v>
      </c>
      <c r="D307" s="34"/>
      <c r="E307" s="61">
        <f>E24-E300+E301</f>
        <v>-4.6566128730773926E-10</v>
      </c>
    </row>
    <row r="308" spans="1:5" ht="12.75" hidden="1" customHeight="1">
      <c r="A308" s="35"/>
      <c r="B308" s="34"/>
    </row>
    <row r="309" spans="1:5" ht="12.75" hidden="1" customHeight="1">
      <c r="A309" t="s">
        <v>19</v>
      </c>
      <c r="B309" s="34">
        <f>B298/B300*100</f>
        <v>87.88798951485154</v>
      </c>
      <c r="C309" s="34">
        <f t="shared" ref="C309" si="94">C298/C300*100</f>
        <v>81.001706705085653</v>
      </c>
      <c r="D309" s="34"/>
    </row>
    <row r="310" spans="1:5" ht="12.75" hidden="1" customHeight="1">
      <c r="A310" t="s">
        <v>24</v>
      </c>
      <c r="B310" s="62">
        <f>B299/B300*100</f>
        <v>11.580676949554162</v>
      </c>
      <c r="C310" s="62">
        <f t="shared" ref="C310" si="95">C299/C300*100</f>
        <v>18.998293294914344</v>
      </c>
      <c r="D310" s="62"/>
    </row>
    <row r="311" spans="1:5" ht="12.75" hidden="1" customHeight="1"/>
    <row r="312" spans="1:5" ht="12.75" customHeight="1"/>
    <row r="313" spans="1:5" ht="12.75" customHeight="1"/>
    <row r="314" spans="1:5" ht="12.75" customHeight="1"/>
    <row r="315" spans="1:5" ht="12.75" customHeight="1"/>
    <row r="316" spans="1:5" ht="12.75" customHeight="1"/>
    <row r="317" spans="1:5" ht="12.75" customHeight="1"/>
    <row r="318" spans="1:5" ht="12.75" customHeight="1"/>
    <row r="319" spans="1:5" ht="12.75" customHeight="1"/>
    <row r="320" spans="1:5" ht="12.75" customHeight="1"/>
    <row r="321" spans="1:1" ht="12.75" customHeight="1">
      <c r="A321" s="36"/>
    </row>
    <row r="322" spans="1:1" ht="12.75" customHeight="1">
      <c r="A322" s="36"/>
    </row>
    <row r="323" spans="1:1" ht="15" customHeight="1">
      <c r="A323" s="36"/>
    </row>
    <row r="325" spans="1:1" ht="15" customHeight="1"/>
    <row r="326" spans="1:1" ht="15" customHeight="1"/>
    <row r="327" spans="1:1" ht="15" customHeight="1"/>
    <row r="328" spans="1:1" ht="15" customHeight="1"/>
    <row r="329" spans="1:1" ht="15" customHeight="1"/>
    <row r="330" spans="1:1" ht="15" customHeight="1"/>
    <row r="331" spans="1:1" ht="15" customHeight="1"/>
    <row r="332" spans="1:1" ht="15" customHeight="1"/>
    <row r="333" spans="1:1" ht="15" customHeight="1"/>
    <row r="334" spans="1:1" ht="15" customHeight="1"/>
    <row r="335" spans="1:1" ht="15" customHeight="1"/>
    <row r="336" spans="1:1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</sheetData>
  <mergeCells count="2">
    <mergeCell ref="A2:E2"/>
    <mergeCell ref="A3:E3"/>
  </mergeCells>
  <printOptions horizontalCentered="1" verticalCentered="1"/>
  <pageMargins left="0.39370078740157483" right="0" top="0.98425196850393704" bottom="0.78740157480314965" header="0.51181102362204722" footer="0.51181102362204722"/>
  <pageSetup paperSize="9" orientation="portrait" r:id="rId1"/>
  <headerFooter alignWithMargins="0">
    <oddFooter>&amp;CStránka &amp;P</oddFooter>
  </headerFooter>
  <rowBreaks count="4" manualBreakCount="4">
    <brk id="50" max="5" man="1"/>
    <brk id="109" max="5" man="1"/>
    <brk id="168" max="5" man="1"/>
    <brk id="2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2014</vt:lpstr>
      <vt:lpstr>'2014'!Názvy_tisku</vt:lpstr>
      <vt:lpstr>'2014'!Oblast_tisku</vt:lpstr>
    </vt:vector>
  </TitlesOfParts>
  <Company>Krajský úřad, Královehradecký kraj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2013-11-12T09:54:04Z</cp:lastPrinted>
  <dcterms:created xsi:type="dcterms:W3CDTF">2010-05-26T11:33:11Z</dcterms:created>
  <dcterms:modified xsi:type="dcterms:W3CDTF">2013-12-11T15:06:56Z</dcterms:modified>
</cp:coreProperties>
</file>